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rr2\Desktop\年末調整\"/>
    </mc:Choice>
  </mc:AlternateContent>
  <xr:revisionPtr revIDLastSave="0" documentId="13_ncr:1_{6E6CFAEF-50DA-4127-8158-044CF6B9964C}" xr6:coauthVersionLast="47" xr6:coauthVersionMax="47" xr10:uidLastSave="{00000000-0000-0000-0000-000000000000}"/>
  <bookViews>
    <workbookView xWindow="-120" yWindow="-120" windowWidth="29040" windowHeight="15720" xr2:uid="{E2B2586E-6608-49CB-8C82-D4B7808E6BBA}"/>
  </bookViews>
  <sheets>
    <sheet name="07nen" sheetId="57" r:id="rId1"/>
    <sheet name="07源泉" sheetId="58" r:id="rId2"/>
    <sheet name="07源泉(税務署)" sheetId="63" r:id="rId3"/>
  </sheets>
  <definedNames>
    <definedName name="_xlnm._FilterDatabase" localSheetId="0" hidden="1">'07nen'!$Z$14:$Z$19</definedName>
    <definedName name="_xlnm.Database" localSheetId="1">#REF!</definedName>
    <definedName name="_xlnm.Database" localSheetId="2">#REF!</definedName>
    <definedName name="_xlnm.Database">#REF!</definedName>
    <definedName name="_xlnm.Print_Area" localSheetId="0">'07nen'!$B$6:$Y$55</definedName>
    <definedName name="_xlnm.Print_Area" localSheetId="1">'07源泉'!$B$3:$FE$59</definedName>
    <definedName name="_xlnm.Print_Area" localSheetId="2">'07源泉(税務署)'!$B$3:$CB$59</definedName>
  </definedNames>
  <calcPr calcId="191029"/>
</workbook>
</file>

<file path=xl/calcChain.xml><?xml version="1.0" encoding="utf-8"?>
<calcChain xmlns="http://schemas.openxmlformats.org/spreadsheetml/2006/main">
  <c r="AY23" i="63" l="1"/>
  <c r="AJ23" i="63"/>
  <c r="U23" i="63"/>
  <c r="EB23" i="58"/>
  <c r="DM23" i="58"/>
  <c r="CX23" i="58"/>
  <c r="AY23" i="58"/>
  <c r="AJ23" i="58"/>
  <c r="U23" i="58"/>
  <c r="W61" i="57"/>
  <c r="X38" i="57"/>
  <c r="AH33" i="63"/>
  <c r="DK33" i="58"/>
  <c r="H26" i="63"/>
  <c r="H25" i="63"/>
  <c r="BD19" i="63"/>
  <c r="AX19" i="63"/>
  <c r="AR19" i="63"/>
  <c r="AI19" i="63"/>
  <c r="K19" i="63"/>
  <c r="CK26" i="58"/>
  <c r="CK25" i="58"/>
  <c r="EG19" i="58"/>
  <c r="EA19" i="58"/>
  <c r="DU19" i="58"/>
  <c r="DL19" i="58"/>
  <c r="CN19" i="58"/>
  <c r="Q26" i="57"/>
  <c r="EQ47" i="58" s="1"/>
  <c r="AH45" i="57"/>
  <c r="AH41" i="57"/>
  <c r="Y113" i="57"/>
  <c r="AB98" i="57"/>
  <c r="Y107" i="57"/>
  <c r="Y101" i="57"/>
  <c r="V110" i="57"/>
  <c r="V104" i="57"/>
  <c r="V98" i="57"/>
  <c r="AB110" i="57"/>
  <c r="AB104" i="57"/>
  <c r="AH42" i="57"/>
  <c r="AH43" i="57"/>
  <c r="AH44" i="57"/>
  <c r="AH46" i="57"/>
  <c r="AH47" i="57"/>
  <c r="BD19" i="58"/>
  <c r="Y95" i="57"/>
  <c r="Y89" i="57"/>
  <c r="Y83" i="57"/>
  <c r="Y77" i="57"/>
  <c r="AB92" i="57"/>
  <c r="AB86" i="57"/>
  <c r="AB80" i="57"/>
  <c r="V92" i="57"/>
  <c r="V86" i="57"/>
  <c r="V80" i="57"/>
  <c r="V74" i="57"/>
  <c r="AB74" i="57"/>
  <c r="AF25" i="57"/>
  <c r="N40" i="57"/>
  <c r="Q76" i="57"/>
  <c r="Q75" i="57"/>
  <c r="Q74" i="57"/>
  <c r="Q69" i="57"/>
  <c r="Q68" i="57"/>
  <c r="Q67" i="57"/>
  <c r="Q25" i="57"/>
  <c r="BD44" i="63" s="1"/>
  <c r="Q24" i="57"/>
  <c r="AU42" i="63" s="1"/>
  <c r="Q23" i="57"/>
  <c r="DX39" i="58" s="1"/>
  <c r="DX42" i="58" l="1"/>
  <c r="EG44" i="58"/>
  <c r="DX48" i="58"/>
  <c r="EG48" i="58"/>
  <c r="AU38" i="63"/>
  <c r="BD38" i="63"/>
  <c r="AU41" i="63"/>
  <c r="BN44" i="63"/>
  <c r="AU45" i="63"/>
  <c r="BD45" i="63"/>
  <c r="EG39" i="58"/>
  <c r="AU47" i="63"/>
  <c r="DX41" i="58"/>
  <c r="BD47" i="63"/>
  <c r="EG41" i="58"/>
  <c r="EQ41" i="58"/>
  <c r="EG42" i="58"/>
  <c r="AU39" i="63"/>
  <c r="BN47" i="63"/>
  <c r="DX44" i="58"/>
  <c r="BD39" i="63"/>
  <c r="AU48" i="63"/>
  <c r="BD48" i="63"/>
  <c r="DX45" i="58"/>
  <c r="BN41" i="63"/>
  <c r="BD42" i="63"/>
  <c r="EQ44" i="58"/>
  <c r="BD41" i="63"/>
  <c r="DX38" i="58"/>
  <c r="DX47" i="58"/>
  <c r="EQ38" i="58"/>
  <c r="EG47" i="58"/>
  <c r="AU44" i="63"/>
  <c r="BN38" i="63"/>
  <c r="EG45" i="58"/>
  <c r="EG38" i="58"/>
  <c r="AB112" i="57"/>
  <c r="AC112" i="57"/>
  <c r="AB106" i="57"/>
  <c r="AC106" i="57"/>
  <c r="AB100" i="57"/>
  <c r="AC100" i="57"/>
  <c r="AB94" i="57"/>
  <c r="AC94" i="57"/>
  <c r="AB88" i="57"/>
  <c r="AC88" i="57"/>
  <c r="AB82" i="57"/>
  <c r="AC82" i="57"/>
  <c r="AC76" i="57"/>
  <c r="AB76" i="57"/>
  <c r="B20" i="57"/>
  <c r="B26" i="57"/>
  <c r="A1" i="63"/>
  <c r="FB1" i="63"/>
  <c r="X5" i="63"/>
  <c r="AS54" i="63" s="1"/>
  <c r="DA5" i="58"/>
  <c r="DV54" i="58" s="1"/>
  <c r="AD106" i="57" l="1"/>
  <c r="AE106" i="57" s="1"/>
  <c r="AC107" i="57" s="1"/>
  <c r="AC109" i="57" s="1"/>
  <c r="AD112" i="57"/>
  <c r="AE112" i="57" s="1"/>
  <c r="AC113" i="57" s="1"/>
  <c r="AC115" i="57" s="1"/>
  <c r="AD100" i="57"/>
  <c r="AE100" i="57" s="1"/>
  <c r="AC101" i="57" s="1"/>
  <c r="AC103" i="57" s="1"/>
  <c r="AD82" i="57"/>
  <c r="AE82" i="57" s="1"/>
  <c r="AC83" i="57" s="1"/>
  <c r="AB85" i="57" s="1"/>
  <c r="AD88" i="57"/>
  <c r="AE88" i="57" s="1"/>
  <c r="AC89" i="57" s="1"/>
  <c r="AC91" i="57" s="1"/>
  <c r="AD94" i="57"/>
  <c r="AE94" i="57" s="1"/>
  <c r="AC95" i="57" s="1"/>
  <c r="AC97" i="57" s="1"/>
  <c r="AD76" i="57"/>
  <c r="AE76" i="57" s="1"/>
  <c r="AC77" i="57" s="1"/>
  <c r="AB79" i="57" s="1"/>
  <c r="N7" i="58"/>
  <c r="AB109" i="57" l="1"/>
  <c r="AD109" i="57" s="1"/>
  <c r="Y106" i="57" s="1"/>
  <c r="Y108" i="57" s="1"/>
  <c r="O62" i="57" s="1"/>
  <c r="Q62" i="57" s="1"/>
  <c r="AB115" i="57"/>
  <c r="AD115" i="57" s="1"/>
  <c r="Y112" i="57" s="1"/>
  <c r="Y114" i="57" s="1"/>
  <c r="O63" i="57" s="1"/>
  <c r="Q63" i="57" s="1"/>
  <c r="AB103" i="57"/>
  <c r="AD103" i="57" s="1"/>
  <c r="Y100" i="57" s="1"/>
  <c r="Y102" i="57" s="1"/>
  <c r="O61" i="57" s="1"/>
  <c r="Q61" i="57" s="1"/>
  <c r="AC85" i="57"/>
  <c r="AD85" i="57" s="1"/>
  <c r="Y82" i="57" s="1"/>
  <c r="Y84" i="57" s="1"/>
  <c r="O18" i="57" s="1"/>
  <c r="AB91" i="57"/>
  <c r="AD91" i="57" s="1"/>
  <c r="Y88" i="57" s="1"/>
  <c r="Y90" i="57" s="1"/>
  <c r="O19" i="57" s="1"/>
  <c r="AB97" i="57"/>
  <c r="AD97" i="57" s="1"/>
  <c r="Y94" i="57" s="1"/>
  <c r="AC79" i="57"/>
  <c r="AD79" i="57" s="1"/>
  <c r="Y76" i="57" s="1"/>
  <c r="F12" i="63"/>
  <c r="AX58" i="63"/>
  <c r="AV58" i="63"/>
  <c r="AT58" i="63"/>
  <c r="AR58" i="63"/>
  <c r="AP58" i="63"/>
  <c r="AN58" i="63"/>
  <c r="AL58" i="63"/>
  <c r="AJ58" i="63"/>
  <c r="X58" i="63"/>
  <c r="V58" i="63"/>
  <c r="T58" i="63"/>
  <c r="R58" i="63"/>
  <c r="P58" i="63"/>
  <c r="BK57" i="63"/>
  <c r="R57" i="63"/>
  <c r="R56" i="63"/>
  <c r="AP55" i="63"/>
  <c r="AN55" i="63"/>
  <c r="AL55" i="63"/>
  <c r="AJ55" i="63"/>
  <c r="AH55" i="63"/>
  <c r="AF55" i="63"/>
  <c r="AD55" i="63"/>
  <c r="AB55" i="63"/>
  <c r="Z55" i="63"/>
  <c r="X55" i="63"/>
  <c r="V55" i="63"/>
  <c r="T55" i="63"/>
  <c r="R55" i="63"/>
  <c r="BX54" i="63"/>
  <c r="BT54" i="63"/>
  <c r="BP54" i="63"/>
  <c r="BE54" i="63"/>
  <c r="BA54" i="63"/>
  <c r="AW54" i="63"/>
  <c r="AP54" i="63"/>
  <c r="AM54" i="63"/>
  <c r="R54" i="63"/>
  <c r="O54" i="63"/>
  <c r="L54" i="63"/>
  <c r="I54" i="63"/>
  <c r="F54" i="63"/>
  <c r="BU34" i="63"/>
  <c r="BG34" i="63"/>
  <c r="BN32" i="63"/>
  <c r="AO32" i="63"/>
  <c r="AK32" i="63"/>
  <c r="AF32" i="63"/>
  <c r="AY31" i="63"/>
  <c r="BN30" i="63"/>
  <c r="AO30" i="63"/>
  <c r="AK30" i="63"/>
  <c r="AF30" i="63"/>
  <c r="AY29" i="63"/>
  <c r="Q29" i="63"/>
  <c r="BU28" i="63"/>
  <c r="BG28" i="63"/>
  <c r="AS28" i="63"/>
  <c r="AE28" i="63"/>
  <c r="Q28" i="63"/>
  <c r="BO12" i="63"/>
  <c r="V12" i="63"/>
  <c r="BP10" i="63"/>
  <c r="BB10" i="63"/>
  <c r="BP9" i="63"/>
  <c r="BB9" i="63"/>
  <c r="BB8" i="63"/>
  <c r="BZ7" i="63"/>
  <c r="BX7" i="63"/>
  <c r="BV7" i="63"/>
  <c r="BT7" i="63"/>
  <c r="BR7" i="63"/>
  <c r="BP7" i="63"/>
  <c r="BN7" i="63"/>
  <c r="BL7" i="63"/>
  <c r="BJ7" i="63"/>
  <c r="BH7" i="63"/>
  <c r="BF7" i="63"/>
  <c r="BD7" i="63"/>
  <c r="BD6" i="63"/>
  <c r="N6" i="63"/>
  <c r="AD40" i="57"/>
  <c r="CI12" i="58"/>
  <c r="Y96" i="57" l="1"/>
  <c r="O20" i="57" s="1"/>
  <c r="Y78" i="57"/>
  <c r="Q18" i="57" s="1"/>
  <c r="Q19" i="57"/>
  <c r="AF46" i="57"/>
  <c r="AF47" i="57"/>
  <c r="AF45" i="57"/>
  <c r="Q20" i="57" l="1"/>
  <c r="AF44" i="57"/>
  <c r="AG44" i="57" s="1"/>
  <c r="AF42" i="57"/>
  <c r="AG42" i="57" s="1"/>
  <c r="AF43" i="57"/>
  <c r="AI43" i="57" s="1"/>
  <c r="O17" i="57"/>
  <c r="AG45" i="57"/>
  <c r="AI45" i="57"/>
  <c r="AG47" i="57"/>
  <c r="AI47" i="57"/>
  <c r="AI46" i="57"/>
  <c r="AG46" i="57"/>
  <c r="FB1" i="58"/>
  <c r="AI44" i="57" l="1"/>
  <c r="AG43" i="57"/>
  <c r="H44" i="57" s="1"/>
  <c r="AI42" i="57"/>
  <c r="Q17" i="57"/>
  <c r="H45" i="57"/>
  <c r="H43" i="57"/>
  <c r="I43" i="57"/>
  <c r="I44" i="57"/>
  <c r="I45" i="57"/>
  <c r="K45" i="57" s="1"/>
  <c r="S75" i="57"/>
  <c r="S74" i="57"/>
  <c r="AD29" i="57"/>
  <c r="AD30" i="57"/>
  <c r="AD28" i="57"/>
  <c r="EN57" i="58"/>
  <c r="CU57" i="58"/>
  <c r="CU56" i="58"/>
  <c r="FA54" i="58"/>
  <c r="EW54" i="58"/>
  <c r="ES54" i="58"/>
  <c r="EH54" i="58"/>
  <c r="ED54" i="58"/>
  <c r="DZ54" i="58"/>
  <c r="DS54" i="58"/>
  <c r="DP54" i="58"/>
  <c r="CU54" i="58"/>
  <c r="CR54" i="58"/>
  <c r="CO54" i="58"/>
  <c r="CL54" i="58"/>
  <c r="CI54" i="58"/>
  <c r="EX34" i="58"/>
  <c r="EJ34" i="58"/>
  <c r="EQ32" i="58"/>
  <c r="DR32" i="58"/>
  <c r="DN32" i="58"/>
  <c r="DI32" i="58"/>
  <c r="EB31" i="58"/>
  <c r="EQ30" i="58"/>
  <c r="DR30" i="58"/>
  <c r="DN30" i="58"/>
  <c r="DI30" i="58"/>
  <c r="EB29" i="58"/>
  <c r="CT29" i="58"/>
  <c r="EX28" i="58"/>
  <c r="EJ28" i="58"/>
  <c r="DV28" i="58"/>
  <c r="DH28" i="58"/>
  <c r="CT28" i="58"/>
  <c r="ER12" i="58"/>
  <c r="CY12" i="58"/>
  <c r="ES10" i="58"/>
  <c r="EE10" i="58"/>
  <c r="ES9" i="58"/>
  <c r="EE9" i="58"/>
  <c r="EE8" i="58"/>
  <c r="EG6" i="58"/>
  <c r="CQ6" i="58"/>
  <c r="BK57" i="58"/>
  <c r="R57" i="58"/>
  <c r="R56" i="58"/>
  <c r="AP55" i="58"/>
  <c r="AN55" i="58"/>
  <c r="AL55" i="58"/>
  <c r="AJ55" i="58"/>
  <c r="AH55" i="58"/>
  <c r="AF55" i="58"/>
  <c r="AD55" i="58"/>
  <c r="AB55" i="58"/>
  <c r="Z55" i="58"/>
  <c r="X55" i="58"/>
  <c r="V55" i="58"/>
  <c r="T55" i="58"/>
  <c r="R55" i="58"/>
  <c r="BX54" i="58"/>
  <c r="BT54" i="58"/>
  <c r="BP54" i="58"/>
  <c r="BE54" i="58"/>
  <c r="BA54" i="58"/>
  <c r="AW54" i="58"/>
  <c r="AP54" i="58"/>
  <c r="AM54" i="58"/>
  <c r="R54" i="58"/>
  <c r="O54" i="58"/>
  <c r="L54" i="58"/>
  <c r="I54" i="58"/>
  <c r="F54" i="58"/>
  <c r="BU34" i="58"/>
  <c r="BG34" i="58"/>
  <c r="BN32" i="58"/>
  <c r="AO32" i="58"/>
  <c r="AK32" i="58"/>
  <c r="AF32" i="58"/>
  <c r="AY31" i="58"/>
  <c r="BN30" i="58"/>
  <c r="AO30" i="58"/>
  <c r="AK30" i="58"/>
  <c r="AF30" i="58"/>
  <c r="AY29" i="58"/>
  <c r="Q29" i="58"/>
  <c r="BU28" i="58"/>
  <c r="BG28" i="58"/>
  <c r="AS28" i="58"/>
  <c r="AE28" i="58"/>
  <c r="Q28" i="58"/>
  <c r="H26" i="58"/>
  <c r="H25" i="58"/>
  <c r="AX19" i="58"/>
  <c r="AR19" i="58"/>
  <c r="AI19" i="58"/>
  <c r="K19" i="58"/>
  <c r="BO12" i="58"/>
  <c r="V12" i="58"/>
  <c r="BP10" i="58"/>
  <c r="BB10" i="58"/>
  <c r="BP9" i="58"/>
  <c r="BB9" i="58"/>
  <c r="BB8" i="58"/>
  <c r="BZ7" i="58"/>
  <c r="BX7" i="58"/>
  <c r="BV7" i="58"/>
  <c r="BT7" i="58"/>
  <c r="BR7" i="58"/>
  <c r="BP7" i="58"/>
  <c r="BN7" i="58"/>
  <c r="BL7" i="58"/>
  <c r="BJ7" i="58"/>
  <c r="BH7" i="58"/>
  <c r="BF7" i="58"/>
  <c r="BD7" i="58"/>
  <c r="BD6" i="58"/>
  <c r="AM93" i="57"/>
  <c r="AL93" i="57"/>
  <c r="AO79" i="57"/>
  <c r="AQ79" i="57" s="1"/>
  <c r="AO77" i="57"/>
  <c r="AP77" i="57" s="1"/>
  <c r="Y69" i="57"/>
  <c r="K69" i="57"/>
  <c r="Y68" i="57"/>
  <c r="K68" i="57"/>
  <c r="AO71" i="57"/>
  <c r="AP71" i="57" s="1"/>
  <c r="Y67" i="57"/>
  <c r="K67" i="57"/>
  <c r="B67" i="57"/>
  <c r="AO70" i="57"/>
  <c r="AP70" i="57" s="1"/>
  <c r="Y66" i="57"/>
  <c r="Y65" i="57"/>
  <c r="AO68" i="57"/>
  <c r="AQ68" i="57" s="1"/>
  <c r="Y64" i="57"/>
  <c r="K63" i="57"/>
  <c r="R63" i="57" s="1"/>
  <c r="AB43" i="57" s="1"/>
  <c r="Y62" i="57"/>
  <c r="K62" i="57"/>
  <c r="R62" i="57" s="1"/>
  <c r="AO65" i="57"/>
  <c r="K61" i="57"/>
  <c r="R61" i="57" s="1"/>
  <c r="B61" i="57"/>
  <c r="AO64" i="57"/>
  <c r="AP64" i="57" s="1"/>
  <c r="AO58" i="57"/>
  <c r="Y49" i="57"/>
  <c r="X39" i="57"/>
  <c r="AC35" i="57"/>
  <c r="AF33" i="57"/>
  <c r="AE32" i="57"/>
  <c r="AG54" i="63" s="1"/>
  <c r="AC32" i="57"/>
  <c r="AC31" i="57"/>
  <c r="AA54" i="63" s="1"/>
  <c r="AE30" i="57"/>
  <c r="AE29" i="57"/>
  <c r="AC29" i="57"/>
  <c r="U54" i="63" s="1"/>
  <c r="AE28" i="57"/>
  <c r="AC28" i="57"/>
  <c r="X54" i="63" s="1"/>
  <c r="Y28" i="57"/>
  <c r="X28" i="57"/>
  <c r="W28" i="57"/>
  <c r="K26" i="57"/>
  <c r="K16" i="57"/>
  <c r="K25" i="57"/>
  <c r="K24" i="57"/>
  <c r="Y23" i="57"/>
  <c r="X23" i="57"/>
  <c r="W23" i="57"/>
  <c r="K23" i="57"/>
  <c r="AF20" i="57"/>
  <c r="K20" i="57"/>
  <c r="R20" i="57" s="1"/>
  <c r="K19" i="57"/>
  <c r="R19" i="57" s="1"/>
  <c r="K18" i="57"/>
  <c r="R18" i="57" s="1"/>
  <c r="K17" i="57"/>
  <c r="R17" i="57" s="1"/>
  <c r="AO16" i="57"/>
  <c r="C6" i="57"/>
  <c r="DA22" i="58" l="1"/>
  <c r="X22" i="63"/>
  <c r="BN23" i="63"/>
  <c r="EQ23" i="58"/>
  <c r="O41" i="58"/>
  <c r="X41" i="63"/>
  <c r="O41" i="63"/>
  <c r="O42" i="63"/>
  <c r="X41" i="58"/>
  <c r="O42" i="58"/>
  <c r="X42" i="58"/>
  <c r="N43" i="58"/>
  <c r="AH41" i="58"/>
  <c r="X42" i="63"/>
  <c r="N43" i="63"/>
  <c r="AH41" i="63"/>
  <c r="O44" i="63"/>
  <c r="X45" i="63"/>
  <c r="DA45" i="58"/>
  <c r="X45" i="58"/>
  <c r="N46" i="63"/>
  <c r="AH44" i="58"/>
  <c r="AH44" i="63"/>
  <c r="O45" i="63"/>
  <c r="DA44" i="58"/>
  <c r="O44" i="58"/>
  <c r="CR44" i="58"/>
  <c r="X44" i="63"/>
  <c r="X44" i="58"/>
  <c r="CR45" i="58"/>
  <c r="O45" i="58"/>
  <c r="DK44" i="58"/>
  <c r="N46" i="58"/>
  <c r="CR19" i="58"/>
  <c r="O19" i="63"/>
  <c r="N40" i="63"/>
  <c r="X39" i="63"/>
  <c r="O39" i="63"/>
  <c r="AH38" i="63"/>
  <c r="X38" i="63"/>
  <c r="CR39" i="58"/>
  <c r="CR38" i="58"/>
  <c r="AH38" i="58"/>
  <c r="DK38" i="58"/>
  <c r="O38" i="63"/>
  <c r="DA39" i="58"/>
  <c r="DA38" i="58"/>
  <c r="DA48" i="58"/>
  <c r="AH47" i="63"/>
  <c r="DK47" i="58"/>
  <c r="X48" i="63"/>
  <c r="CR48" i="58"/>
  <c r="X47" i="63"/>
  <c r="O47" i="63"/>
  <c r="CR47" i="58"/>
  <c r="DA47" i="58"/>
  <c r="N49" i="63"/>
  <c r="O48" i="63"/>
  <c r="AA41" i="57"/>
  <c r="AA42" i="57" s="1"/>
  <c r="AB42" i="57" s="1"/>
  <c r="AG62" i="57"/>
  <c r="AH62" i="57" s="1"/>
  <c r="AG63" i="57"/>
  <c r="AH63" i="57" s="1"/>
  <c r="AG66" i="57"/>
  <c r="AH66" i="57" s="1"/>
  <c r="AG69" i="57"/>
  <c r="AH69" i="57" s="1"/>
  <c r="AG64" i="57"/>
  <c r="AH64" i="57" s="1"/>
  <c r="AG65" i="57"/>
  <c r="AH65" i="57" s="1"/>
  <c r="AG61" i="57"/>
  <c r="AH61" i="57" s="1"/>
  <c r="AG67" i="57"/>
  <c r="AH67" i="57" s="1"/>
  <c r="AG68" i="57"/>
  <c r="AH68" i="57" s="1"/>
  <c r="X38" i="58"/>
  <c r="X47" i="58"/>
  <c r="O47" i="58"/>
  <c r="O48" i="58"/>
  <c r="N49" i="58"/>
  <c r="Z49" i="58" s="1"/>
  <c r="AH47" i="58"/>
  <c r="X48" i="58"/>
  <c r="X39" i="58"/>
  <c r="O38" i="58"/>
  <c r="N40" i="58"/>
  <c r="P40" i="58" s="1"/>
  <c r="O39" i="58"/>
  <c r="AF41" i="57"/>
  <c r="K44" i="57"/>
  <c r="K43" i="57"/>
  <c r="AO18" i="57"/>
  <c r="AP18" i="57"/>
  <c r="AD41" i="57"/>
  <c r="AC21" i="57"/>
  <c r="X29" i="57"/>
  <c r="X37" i="57" s="1"/>
  <c r="AC17" i="57"/>
  <c r="AD54" i="63"/>
  <c r="Q39" i="57"/>
  <c r="AT25" i="57"/>
  <c r="AS27" i="57" s="1"/>
  <c r="AO53" i="57"/>
  <c r="AO55" i="57" s="1"/>
  <c r="AO59" i="57"/>
  <c r="AP61" i="57" s="1"/>
  <c r="DA42" i="58"/>
  <c r="AC14" i="57"/>
  <c r="AE43" i="57"/>
  <c r="AE45" i="57"/>
  <c r="Q38" i="57"/>
  <c r="Y29" i="57"/>
  <c r="Y33" i="57" s="1"/>
  <c r="AE41" i="57"/>
  <c r="AO52" i="57"/>
  <c r="CX54" i="58"/>
  <c r="AP68" i="57"/>
  <c r="AR68" i="57" s="1"/>
  <c r="O19" i="58"/>
  <c r="AE44" i="57"/>
  <c r="AE47" i="57"/>
  <c r="AQ70" i="57"/>
  <c r="AR70" i="57" s="1"/>
  <c r="DA54" i="58"/>
  <c r="DD54" i="58"/>
  <c r="X22" i="58"/>
  <c r="DG54" i="58"/>
  <c r="W29" i="57"/>
  <c r="X33" i="57" s="1"/>
  <c r="T13" i="63" s="1"/>
  <c r="U54" i="58"/>
  <c r="DJ54" i="58"/>
  <c r="X54" i="58"/>
  <c r="AA54" i="58"/>
  <c r="AE40" i="57"/>
  <c r="AD54" i="58"/>
  <c r="AG54" i="58"/>
  <c r="AC16" i="57"/>
  <c r="AE42" i="57"/>
  <c r="AQ77" i="57"/>
  <c r="AR77" i="57" s="1"/>
  <c r="AC20" i="57"/>
  <c r="AE20" i="57" s="1"/>
  <c r="AP65" i="57"/>
  <c r="AQ65" i="57"/>
  <c r="AE46" i="57"/>
  <c r="BD38" i="58"/>
  <c r="AU41" i="58"/>
  <c r="BN38" i="58"/>
  <c r="AT40" i="58"/>
  <c r="BJ40" i="58" s="1"/>
  <c r="BN41" i="58"/>
  <c r="AU42" i="58"/>
  <c r="AU39" i="58"/>
  <c r="BD42" i="58"/>
  <c r="BD39" i="58"/>
  <c r="AT43" i="58"/>
  <c r="AU38" i="58"/>
  <c r="BD44" i="58"/>
  <c r="BD41" i="58"/>
  <c r="BN44" i="58"/>
  <c r="AU48" i="58"/>
  <c r="BD48" i="58"/>
  <c r="AU45" i="58"/>
  <c r="BD45" i="58"/>
  <c r="AT49" i="58"/>
  <c r="AU47" i="58"/>
  <c r="AT46" i="58"/>
  <c r="BD47" i="58"/>
  <c r="BN47" i="58"/>
  <c r="AU44" i="58"/>
  <c r="CR41" i="58"/>
  <c r="DA41" i="58"/>
  <c r="DK41" i="58"/>
  <c r="AC10" i="57"/>
  <c r="CR42" i="58"/>
  <c r="AQ64" i="57"/>
  <c r="AR64" i="57" s="1"/>
  <c r="AQ71" i="57"/>
  <c r="AR71" i="57" s="1"/>
  <c r="AD43" i="57"/>
  <c r="AD45" i="57"/>
  <c r="AD47" i="57"/>
  <c r="AC19" i="57"/>
  <c r="AP79" i="57"/>
  <c r="AR79" i="57" s="1"/>
  <c r="Q37" i="57"/>
  <c r="AD46" i="57"/>
  <c r="AC18" i="57"/>
  <c r="AD42" i="57"/>
  <c r="AD44" i="57"/>
  <c r="EJ19" i="58" l="1"/>
  <c r="BG19" i="63"/>
  <c r="AH43" i="63"/>
  <c r="R43" i="63"/>
  <c r="AJ43" i="63"/>
  <c r="P43" i="63"/>
  <c r="AF43" i="63"/>
  <c r="AD43" i="63"/>
  <c r="T43" i="63"/>
  <c r="X43" i="63"/>
  <c r="AB43" i="63"/>
  <c r="V43" i="63"/>
  <c r="Z43" i="63"/>
  <c r="AJ46" i="63"/>
  <c r="AD46" i="63"/>
  <c r="Z46" i="63"/>
  <c r="P46" i="63"/>
  <c r="T46" i="63"/>
  <c r="X46" i="63"/>
  <c r="AB46" i="63"/>
  <c r="AF46" i="63"/>
  <c r="V46" i="63"/>
  <c r="R46" i="63"/>
  <c r="AH46" i="63"/>
  <c r="AB41" i="57"/>
  <c r="AJ49" i="63"/>
  <c r="V49" i="63"/>
  <c r="AB49" i="63"/>
  <c r="AD49" i="63"/>
  <c r="AF49" i="63"/>
  <c r="R49" i="63"/>
  <c r="T49" i="63"/>
  <c r="Z49" i="63"/>
  <c r="P49" i="63"/>
  <c r="X49" i="63"/>
  <c r="AH49" i="63"/>
  <c r="BR40" i="63"/>
  <c r="BR40" i="58"/>
  <c r="Z40" i="63"/>
  <c r="AD40" i="63"/>
  <c r="AB40" i="63"/>
  <c r="AF40" i="63"/>
  <c r="AH40" i="63"/>
  <c r="T40" i="63"/>
  <c r="AJ40" i="63"/>
  <c r="V40" i="63"/>
  <c r="P40" i="63"/>
  <c r="X40" i="63"/>
  <c r="R40" i="63"/>
  <c r="DR19" i="58"/>
  <c r="AO19" i="63"/>
  <c r="DO19" i="58"/>
  <c r="AL19" i="63"/>
  <c r="AF19" i="63"/>
  <c r="DI19" i="58"/>
  <c r="AA43" i="57"/>
  <c r="AF19" i="58"/>
  <c r="AH70" i="57"/>
  <c r="X43" i="57" s="1"/>
  <c r="AG70" i="57"/>
  <c r="AG41" i="57"/>
  <c r="H42" i="57" s="1"/>
  <c r="AI41" i="57"/>
  <c r="I42" i="57" s="1"/>
  <c r="K42" i="57" s="1"/>
  <c r="AQ18" i="57"/>
  <c r="AR18" i="57" s="1"/>
  <c r="AP19" i="57" s="1"/>
  <c r="AP21" i="57" s="1"/>
  <c r="BG19" i="58"/>
  <c r="AO61" i="57"/>
  <c r="AQ61" i="57" s="1"/>
  <c r="AP55" i="57"/>
  <c r="AQ55" i="57" s="1"/>
  <c r="V46" i="58"/>
  <c r="AB43" i="58"/>
  <c r="I31" i="57"/>
  <c r="AZ43" i="58"/>
  <c r="Y34" i="57"/>
  <c r="CW13" i="58"/>
  <c r="Q40" i="57"/>
  <c r="AD48" i="57" s="1"/>
  <c r="X46" i="58"/>
  <c r="T49" i="58"/>
  <c r="AJ49" i="58"/>
  <c r="R49" i="58"/>
  <c r="AH49" i="58"/>
  <c r="P49" i="58"/>
  <c r="AF49" i="58"/>
  <c r="AB49" i="58"/>
  <c r="AR65" i="57"/>
  <c r="AR66" i="57" s="1"/>
  <c r="BL46" i="58"/>
  <c r="T13" i="58"/>
  <c r="AO9" i="57"/>
  <c r="AO11" i="57" s="1"/>
  <c r="AJ40" i="58"/>
  <c r="AD40" i="58"/>
  <c r="AB40" i="58"/>
  <c r="BP43" i="58"/>
  <c r="X49" i="58"/>
  <c r="X40" i="58"/>
  <c r="T40" i="58"/>
  <c r="AF40" i="58"/>
  <c r="V40" i="58"/>
  <c r="BL43" i="58"/>
  <c r="BB43" i="58"/>
  <c r="BB46" i="58"/>
  <c r="BP40" i="58"/>
  <c r="BD43" i="58"/>
  <c r="AZ40" i="58"/>
  <c r="BF40" i="58"/>
  <c r="X43" i="58"/>
  <c r="BF43" i="58"/>
  <c r="AV43" i="58"/>
  <c r="BJ43" i="58"/>
  <c r="BD40" i="58"/>
  <c r="P43" i="58"/>
  <c r="AD43" i="58"/>
  <c r="BH43" i="58"/>
  <c r="BH46" i="58"/>
  <c r="BN43" i="58"/>
  <c r="AX43" i="58"/>
  <c r="AB46" i="58"/>
  <c r="BH40" i="58"/>
  <c r="AR81" i="57"/>
  <c r="X41" i="57" s="1"/>
  <c r="R40" i="58"/>
  <c r="Z40" i="58"/>
  <c r="AH40" i="58"/>
  <c r="AR72" i="57"/>
  <c r="BJ49" i="58"/>
  <c r="BP49" i="58"/>
  <c r="AV40" i="58"/>
  <c r="BN40" i="58"/>
  <c r="BL40" i="58"/>
  <c r="BB40" i="58"/>
  <c r="AX40" i="58"/>
  <c r="BF49" i="58"/>
  <c r="BB49" i="58"/>
  <c r="AZ49" i="58"/>
  <c r="AV49" i="58"/>
  <c r="AX49" i="58"/>
  <c r="BD49" i="58"/>
  <c r="BD46" i="58"/>
  <c r="BH49" i="58"/>
  <c r="AX46" i="58"/>
  <c r="AV46" i="58"/>
  <c r="BN46" i="58"/>
  <c r="BJ46" i="58"/>
  <c r="BF46" i="58"/>
  <c r="BN49" i="58"/>
  <c r="AZ46" i="58"/>
  <c r="BL49" i="58"/>
  <c r="BP46" i="58"/>
  <c r="AJ46" i="58"/>
  <c r="AH46" i="58"/>
  <c r="AD46" i="58"/>
  <c r="Z46" i="58"/>
  <c r="R46" i="58"/>
  <c r="P46" i="58"/>
  <c r="T46" i="58"/>
  <c r="T43" i="58"/>
  <c r="AE18" i="57"/>
  <c r="AO19" i="58"/>
  <c r="AL19" i="58"/>
  <c r="V49" i="58"/>
  <c r="AJ43" i="58"/>
  <c r="AD49" i="58"/>
  <c r="AF46" i="58"/>
  <c r="AC9" i="57"/>
  <c r="AH43" i="58"/>
  <c r="AF43" i="58"/>
  <c r="Z43" i="58"/>
  <c r="V43" i="58"/>
  <c r="R43" i="58"/>
  <c r="AE19" i="57"/>
  <c r="F23" i="58" l="1"/>
  <c r="F23" i="63"/>
  <c r="CI23" i="58"/>
  <c r="BR39" i="63"/>
  <c r="BR39" i="58"/>
  <c r="BR41" i="63"/>
  <c r="BR41" i="58"/>
  <c r="DX19" i="58"/>
  <c r="AU19" i="63"/>
  <c r="BA19" i="58"/>
  <c r="ED19" i="58"/>
  <c r="BA19" i="63"/>
  <c r="AA44" i="57"/>
  <c r="AB44" i="57" s="1"/>
  <c r="AO21" i="57"/>
  <c r="AQ21" i="57" s="1"/>
  <c r="AE9" i="57"/>
  <c r="X44" i="57" s="1"/>
  <c r="X63" i="57"/>
  <c r="AP11" i="57"/>
  <c r="AQ11" i="57" s="1"/>
  <c r="AR11" i="57" s="1"/>
  <c r="AP12" i="57" s="1"/>
  <c r="AR74" i="57"/>
  <c r="X40" i="57" s="1"/>
  <c r="AU19" i="58"/>
  <c r="AA45" i="57" l="1"/>
  <c r="BR46" i="58"/>
  <c r="Y63" i="57"/>
  <c r="AP14" i="57"/>
  <c r="AO14" i="57"/>
  <c r="Y61" i="57"/>
  <c r="AA46" i="57" l="1"/>
  <c r="AB46" i="57" s="1"/>
  <c r="BR48" i="58" s="1"/>
  <c r="AB45" i="57"/>
  <c r="K37" i="57"/>
  <c r="K36" i="57"/>
  <c r="AQ14" i="57"/>
  <c r="X34" i="57" s="1"/>
  <c r="Y71" i="57"/>
  <c r="AS53" i="57"/>
  <c r="AT53" i="57" s="1"/>
  <c r="AC11" i="57"/>
  <c r="EN19" i="58" l="1"/>
  <c r="BK19" i="63"/>
  <c r="CR24" i="58"/>
  <c r="O24" i="63"/>
  <c r="O24" i="58"/>
  <c r="BR47" i="58"/>
  <c r="K38" i="57"/>
  <c r="O16" i="57" s="1"/>
  <c r="AM60" i="57"/>
  <c r="AM62" i="57"/>
  <c r="AM57" i="57"/>
  <c r="AM63" i="57"/>
  <c r="AM53" i="57"/>
  <c r="AM59" i="57"/>
  <c r="AM61" i="57"/>
  <c r="AM54" i="57"/>
  <c r="AM56" i="57"/>
  <c r="AM55" i="57"/>
  <c r="AC13" i="57"/>
  <c r="AC12" i="57"/>
  <c r="ER19" i="58" s="1"/>
  <c r="AE11" i="57"/>
  <c r="BK19" i="58"/>
  <c r="AD49" i="57"/>
  <c r="Y35" i="57" s="1"/>
  <c r="X35" i="57" s="1"/>
  <c r="BU37" i="63" s="1"/>
  <c r="EV19" i="58" l="1"/>
  <c r="BS19" i="63"/>
  <c r="BO19" i="63"/>
  <c r="AP38" i="57"/>
  <c r="AP45" i="57" s="1"/>
  <c r="P32" i="57" s="1"/>
  <c r="AE13" i="57"/>
  <c r="X36" i="57"/>
  <c r="AI13" i="58" s="1"/>
  <c r="BS19" i="58"/>
  <c r="BO19" i="58"/>
  <c r="AE12" i="57"/>
  <c r="K31" i="57" l="1"/>
  <c r="K33" i="57" s="1"/>
  <c r="AE16" i="57" s="1"/>
  <c r="AI13" i="63"/>
  <c r="EX37" i="58"/>
  <c r="BU37" i="58"/>
  <c r="DL13" i="58"/>
  <c r="P31" i="57" l="1"/>
  <c r="BG37" i="63" s="1"/>
  <c r="AF131" i="57"/>
  <c r="AG131" i="57" s="1"/>
  <c r="AF130" i="57"/>
  <c r="AF133" i="57"/>
  <c r="AG133" i="57" s="1"/>
  <c r="AF132" i="57"/>
  <c r="AG132" i="57" s="1"/>
  <c r="AP44" i="57"/>
  <c r="P30" i="57" s="1"/>
  <c r="AE17" i="57"/>
  <c r="AE14" i="57"/>
  <c r="AG139" i="57" l="1"/>
  <c r="AG140" i="57"/>
  <c r="AE23" i="57"/>
  <c r="X45" i="57" s="1"/>
  <c r="EJ37" i="58"/>
  <c r="X46" i="57"/>
  <c r="BG37" i="58"/>
  <c r="AM44" i="57"/>
  <c r="AT24" i="57"/>
  <c r="AM45" i="57"/>
  <c r="AM49" i="57"/>
  <c r="AM47" i="57"/>
  <c r="AM42" i="57"/>
  <c r="AM41" i="57"/>
  <c r="AM40" i="57" s="1"/>
  <c r="AM43" i="57"/>
  <c r="AM46" i="57"/>
  <c r="AM48" i="57"/>
  <c r="AM50" i="57"/>
  <c r="AT23" i="57" l="1"/>
  <c r="AP42" i="57" s="1"/>
  <c r="P33" i="57" s="1"/>
  <c r="Q16" i="57" s="1"/>
  <c r="CI19" i="58" l="1"/>
  <c r="F19" i="63"/>
  <c r="AP40" i="57"/>
  <c r="AC22" i="57" s="1"/>
  <c r="EZ19" i="58" l="1"/>
  <c r="BW19" i="63"/>
  <c r="AG130" i="57"/>
  <c r="P34" i="57"/>
  <c r="AC25" i="57"/>
  <c r="AE25" i="57" s="1"/>
  <c r="F19" i="58"/>
  <c r="AH33" i="58"/>
  <c r="X42" i="57" l="1"/>
  <c r="X47" i="57" s="1"/>
  <c r="AX13" i="58" s="1"/>
  <c r="X35" i="63"/>
  <c r="DA35" i="58"/>
  <c r="CV19" i="58"/>
  <c r="S19" i="63"/>
  <c r="AG134" i="57"/>
  <c r="AD125" i="57" s="1"/>
  <c r="S19" i="58"/>
  <c r="DV34" i="58"/>
  <c r="AS34" i="58"/>
  <c r="AS34" i="63"/>
  <c r="X35" i="58"/>
  <c r="BW19" i="58"/>
  <c r="X33" i="63" l="1"/>
  <c r="O33" i="63"/>
  <c r="O35" i="63"/>
  <c r="N37" i="63"/>
  <c r="O33" i="58"/>
  <c r="DA33" i="58"/>
  <c r="CR35" i="58"/>
  <c r="CR33" i="58"/>
  <c r="O35" i="58"/>
  <c r="X33" i="58"/>
  <c r="N37" i="58"/>
  <c r="EA13" i="58"/>
  <c r="AX13" i="63"/>
  <c r="X48" i="57"/>
  <c r="AO85" i="57" s="1"/>
  <c r="AQ85" i="57" s="1"/>
  <c r="T37" i="63" l="1"/>
  <c r="X37" i="63"/>
  <c r="AF37" i="63"/>
  <c r="P37" i="63"/>
  <c r="AB37" i="63"/>
  <c r="AJ37" i="63"/>
  <c r="AH37" i="63"/>
  <c r="AD37" i="63"/>
  <c r="Z37" i="63"/>
  <c r="R37" i="63"/>
  <c r="V37" i="63"/>
  <c r="AJ37" i="58"/>
  <c r="AF37" i="58"/>
  <c r="AD37" i="58"/>
  <c r="V37" i="58"/>
  <c r="T37" i="58"/>
  <c r="AH37" i="58"/>
  <c r="Z37" i="58"/>
  <c r="P37" i="58"/>
  <c r="R37" i="58"/>
  <c r="AB37" i="58"/>
  <c r="X37" i="58"/>
  <c r="AP85" i="57"/>
  <c r="AR85" i="57" s="1"/>
  <c r="Y48" i="57" s="1"/>
  <c r="AO95" i="57"/>
  <c r="AP95" i="57" s="1"/>
  <c r="BN23" i="58" l="1"/>
  <c r="Y50" i="57"/>
  <c r="Y51" i="57" s="1"/>
  <c r="F52" i="57"/>
  <c r="Q32" i="63" s="1"/>
  <c r="AR89" i="57"/>
  <c r="AQ95" i="57"/>
  <c r="AR95" i="57" s="1"/>
  <c r="AR97" i="57" s="1"/>
  <c r="Q32" i="58" l="1"/>
  <c r="CT32" i="58"/>
  <c r="AD126" i="57" l="1"/>
  <c r="BM13" i="63" s="1"/>
  <c r="AD127" i="57"/>
  <c r="AG138" i="57" s="1"/>
  <c r="BM13" i="58" l="1"/>
  <c r="Y52" i="57"/>
  <c r="X52" i="57" s="1"/>
  <c r="EP13"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t.sato</author>
    <author>RRS</author>
  </authors>
  <commentList>
    <comment ref="O17" authorId="0" shapeId="0" xr:uid="{4F2BCABC-BB92-4BBE-97A3-3BFF4587829B}">
      <text>
        <r>
          <rPr>
            <sz val="9"/>
            <color indexed="81"/>
            <rFont val="MS UI Gothic"/>
            <family val="3"/>
            <charset val="128"/>
          </rPr>
          <t>扶養親族①～④の所得見積額は下記注2から入力してください。</t>
        </r>
      </text>
    </comment>
    <comment ref="I36" authorId="1" shapeId="0" xr:uid="{A7D2E24A-4B62-4875-ACB5-DDE527C0C2AB}">
      <text>
        <r>
          <rPr>
            <sz val="9"/>
            <color indexed="81"/>
            <rFont val="MS UI Gothic"/>
            <family val="3"/>
            <charset val="128"/>
          </rPr>
          <t>配偶者の情報はAに入力してください。
生年月日は必ず入力してください。</t>
        </r>
      </text>
    </comment>
    <comment ref="O61" authorId="0" shapeId="0" xr:uid="{C43D4344-E6BD-4410-8B80-622DDD4F2A16}">
      <text>
        <r>
          <rPr>
            <sz val="9"/>
            <color indexed="81"/>
            <rFont val="MS P ゴシック"/>
            <family val="3"/>
            <charset val="128"/>
          </rPr>
          <t>扶養親族⑤～⑦の所得見積額は下記注2から入力してください。</t>
        </r>
      </text>
    </comment>
  </commentList>
</comments>
</file>

<file path=xl/sharedStrings.xml><?xml version="1.0" encoding="utf-8"?>
<sst xmlns="http://schemas.openxmlformats.org/spreadsheetml/2006/main" count="1194" uniqueCount="486">
  <si>
    <t>計</t>
  </si>
  <si>
    <t>計</t>
    <rPh sb="0" eb="1">
      <t>ケイ</t>
    </rPh>
    <phoneticPr fontId="3"/>
  </si>
  <si>
    <t>扶養控除該当</t>
  </si>
  <si>
    <t>年調給与額の算出</t>
  </si>
  <si>
    <t>生年月日</t>
  </si>
  <si>
    <t>扶養控除非該当</t>
  </si>
  <si>
    <t>階差</t>
  </si>
  <si>
    <t>住所</t>
  </si>
  <si>
    <t>老人控除対象配偶者</t>
  </si>
  <si>
    <t>最小値</t>
  </si>
  <si>
    <t>商</t>
  </si>
  <si>
    <t>余り</t>
  </si>
  <si>
    <t>同居老親等</t>
  </si>
  <si>
    <t>年調給与額</t>
  </si>
  <si>
    <t>－</t>
  </si>
  <si>
    <t>一般の障害者</t>
  </si>
  <si>
    <t>特別障害者</t>
  </si>
  <si>
    <t>%</t>
  </si>
  <si>
    <t>控除額</t>
  </si>
  <si>
    <t>給与所得控除後の金額</t>
  </si>
  <si>
    <t>同居特別障害者</t>
  </si>
  <si>
    <t>算式</t>
  </si>
  <si>
    <t>寡婦</t>
  </si>
  <si>
    <t>寡夫</t>
  </si>
  <si>
    <t>勤労学生</t>
  </si>
  <si>
    <t>障害者等控計</t>
  </si>
  <si>
    <t>金額</t>
  </si>
  <si>
    <t>税額</t>
  </si>
  <si>
    <t>未成年者</t>
  </si>
  <si>
    <t>死亡退職</t>
  </si>
  <si>
    <t>配偶者特別控除</t>
  </si>
  <si>
    <t>所得金額</t>
  </si>
  <si>
    <t>災害者</t>
  </si>
  <si>
    <t>外国人</t>
  </si>
  <si>
    <t>生命保険控除</t>
  </si>
  <si>
    <t>配偶者控除</t>
  </si>
  <si>
    <t>扶養控除</t>
  </si>
  <si>
    <t>基礎控除</t>
  </si>
  <si>
    <t>所得控除の合計額</t>
  </si>
  <si>
    <t>課税給与所得/年税額</t>
  </si>
  <si>
    <t>住宅取得等特別控除</t>
  </si>
  <si>
    <t>超過・不足額</t>
  </si>
  <si>
    <t>所得税額速算</t>
  </si>
  <si>
    <t>課税給与所得金額</t>
  </si>
  <si>
    <t>税率</t>
  </si>
  <si>
    <t>(受給者番号)</t>
  </si>
  <si>
    <t>(フリガナ)</t>
  </si>
  <si>
    <t>(役職名)</t>
  </si>
  <si>
    <t>種        別</t>
  </si>
  <si>
    <t>支   払   金   額</t>
  </si>
  <si>
    <t>円</t>
  </si>
  <si>
    <t>内</t>
  </si>
  <si>
    <t>障害者の数</t>
  </si>
  <si>
    <t>老　   人</t>
  </si>
  <si>
    <t>その他</t>
  </si>
  <si>
    <t>従人</t>
  </si>
  <si>
    <t>(摘要)</t>
  </si>
  <si>
    <t>本人が障害者</t>
  </si>
  <si>
    <t>受給者生年月日</t>
  </si>
  <si>
    <t>就職</t>
  </si>
  <si>
    <t>退職</t>
  </si>
  <si>
    <t>年</t>
  </si>
  <si>
    <t>月</t>
  </si>
  <si>
    <t>日</t>
  </si>
  <si>
    <t>色のみに金額などを入力する</t>
    <rPh sb="0" eb="1">
      <t>イロ</t>
    </rPh>
    <rPh sb="4" eb="6">
      <t>キンガク</t>
    </rPh>
    <rPh sb="9" eb="11">
      <t>ニュウリョク</t>
    </rPh>
    <phoneticPr fontId="3"/>
  </si>
  <si>
    <t>色は給与等の支給明細を入れない場合に金額を入れる</t>
    <rPh sb="0" eb="1">
      <t>イロ</t>
    </rPh>
    <rPh sb="2" eb="4">
      <t>キュウヨ</t>
    </rPh>
    <rPh sb="4" eb="5">
      <t>トウ</t>
    </rPh>
    <rPh sb="6" eb="8">
      <t>シキュウ</t>
    </rPh>
    <rPh sb="8" eb="10">
      <t>メイサイ</t>
    </rPh>
    <rPh sb="11" eb="12">
      <t>イ</t>
    </rPh>
    <rPh sb="15" eb="17">
      <t>バアイ</t>
    </rPh>
    <rPh sb="18" eb="20">
      <t>キンガク</t>
    </rPh>
    <rPh sb="21" eb="22">
      <t>イ</t>
    </rPh>
    <phoneticPr fontId="3"/>
  </si>
  <si>
    <t>氏名</t>
    <rPh sb="0" eb="2">
      <t>シメイ</t>
    </rPh>
    <phoneticPr fontId="3"/>
  </si>
  <si>
    <t>支払者</t>
    <phoneticPr fontId="5"/>
  </si>
  <si>
    <t>住所・所在地</t>
    <phoneticPr fontId="3"/>
  </si>
  <si>
    <t>受給者番号</t>
    <phoneticPr fontId="3"/>
  </si>
  <si>
    <t>区分</t>
    <rPh sb="0" eb="2">
      <t>クブン</t>
    </rPh>
    <phoneticPr fontId="3"/>
  </si>
  <si>
    <t>支給日</t>
    <rPh sb="0" eb="2">
      <t>シキュウ</t>
    </rPh>
    <rPh sb="2" eb="3">
      <t>ヒ</t>
    </rPh>
    <phoneticPr fontId="3"/>
  </si>
  <si>
    <t>総支給金額</t>
    <rPh sb="0" eb="1">
      <t>ソウ</t>
    </rPh>
    <rPh sb="1" eb="3">
      <t>シキュウ</t>
    </rPh>
    <rPh sb="3" eb="5">
      <t>キンガク</t>
    </rPh>
    <phoneticPr fontId="3"/>
  </si>
  <si>
    <t>社保等控除</t>
    <rPh sb="0" eb="1">
      <t>シャ</t>
    </rPh>
    <rPh sb="1" eb="2">
      <t>ホ</t>
    </rPh>
    <rPh sb="2" eb="3">
      <t>トウ</t>
    </rPh>
    <rPh sb="3" eb="5">
      <t>コウジョ</t>
    </rPh>
    <phoneticPr fontId="3"/>
  </si>
  <si>
    <t>算出税額</t>
    <rPh sb="0" eb="2">
      <t>サンシュツ</t>
    </rPh>
    <rPh sb="2" eb="4">
      <t>ゼイガク</t>
    </rPh>
    <phoneticPr fontId="3"/>
  </si>
  <si>
    <t>氏名・名称</t>
    <phoneticPr fontId="3"/>
  </si>
  <si>
    <t>フリガナ</t>
    <phoneticPr fontId="3"/>
  </si>
  <si>
    <t>給料・手当等</t>
    <rPh sb="0" eb="2">
      <t>キュウリョウ</t>
    </rPh>
    <rPh sb="3" eb="5">
      <t>テア</t>
    </rPh>
    <rPh sb="5" eb="6">
      <t>トウ</t>
    </rPh>
    <phoneticPr fontId="3"/>
  </si>
  <si>
    <t>給与総額</t>
    <phoneticPr fontId="3"/>
  </si>
  <si>
    <t>最小値</t>
    <phoneticPr fontId="3"/>
  </si>
  <si>
    <t>電話</t>
    <rPh sb="0" eb="2">
      <t>デンワ</t>
    </rPh>
    <phoneticPr fontId="3"/>
  </si>
  <si>
    <t>署番号</t>
    <rPh sb="0" eb="1">
      <t>ショ</t>
    </rPh>
    <rPh sb="1" eb="3">
      <t>バンゴウ</t>
    </rPh>
    <phoneticPr fontId="3"/>
  </si>
  <si>
    <t>①</t>
    <phoneticPr fontId="3"/>
  </si>
  <si>
    <t>整理番号</t>
    <rPh sb="0" eb="2">
      <t>セイリ</t>
    </rPh>
    <rPh sb="2" eb="4">
      <t>バンゴウ</t>
    </rPh>
    <phoneticPr fontId="3"/>
  </si>
  <si>
    <t>役職名</t>
    <phoneticPr fontId="3"/>
  </si>
  <si>
    <t>続柄</t>
    <rPh sb="0" eb="2">
      <t>ゾクガラ</t>
    </rPh>
    <phoneticPr fontId="3"/>
  </si>
  <si>
    <t>控除判定</t>
    <rPh sb="0" eb="2">
      <t>コウジョ</t>
    </rPh>
    <rPh sb="2" eb="4">
      <t>ハンテイ</t>
    </rPh>
    <phoneticPr fontId="3"/>
  </si>
  <si>
    <t>給与所得控除後の計算</t>
    <phoneticPr fontId="3"/>
  </si>
  <si>
    <t>年調給与額</t>
    <phoneticPr fontId="3"/>
  </si>
  <si>
    <t>本人</t>
    <rPh sb="0" eb="2">
      <t>ホンニン</t>
    </rPh>
    <phoneticPr fontId="3"/>
  </si>
  <si>
    <t>配偶者</t>
    <rPh sb="0" eb="3">
      <t>ハイグウシャ</t>
    </rPh>
    <phoneticPr fontId="3"/>
  </si>
  <si>
    <t>扶養</t>
    <rPh sb="0" eb="2">
      <t>フヨウ</t>
    </rPh>
    <phoneticPr fontId="3"/>
  </si>
  <si>
    <t>賞与等</t>
    <rPh sb="0" eb="2">
      <t>ショウヨ</t>
    </rPh>
    <rPh sb="2" eb="3">
      <t>トウ</t>
    </rPh>
    <phoneticPr fontId="3"/>
  </si>
  <si>
    <t>夏</t>
    <rPh sb="0" eb="1">
      <t>ナツ</t>
    </rPh>
    <phoneticPr fontId="3"/>
  </si>
  <si>
    <t>冬</t>
    <rPh sb="0" eb="1">
      <t>フユ</t>
    </rPh>
    <phoneticPr fontId="3"/>
  </si>
  <si>
    <t>合計</t>
    <rPh sb="0" eb="2">
      <t>ゴウケイ</t>
    </rPh>
    <phoneticPr fontId="3"/>
  </si>
  <si>
    <t>国民健康保険・介護保険他</t>
    <rPh sb="0" eb="2">
      <t>コクミン</t>
    </rPh>
    <rPh sb="2" eb="4">
      <t>ケンコウ</t>
    </rPh>
    <rPh sb="4" eb="6">
      <t>ホケン</t>
    </rPh>
    <rPh sb="7" eb="9">
      <t>カイゴ</t>
    </rPh>
    <rPh sb="9" eb="11">
      <t>ホケン</t>
    </rPh>
    <rPh sb="11" eb="12">
      <t>タ</t>
    </rPh>
    <phoneticPr fontId="3"/>
  </si>
  <si>
    <t>国民年金・国民年金基金</t>
    <rPh sb="0" eb="2">
      <t>コクミン</t>
    </rPh>
    <rPh sb="2" eb="4">
      <t>ネンキン</t>
    </rPh>
    <rPh sb="5" eb="7">
      <t>コクミン</t>
    </rPh>
    <rPh sb="7" eb="9">
      <t>ネンキン</t>
    </rPh>
    <rPh sb="9" eb="11">
      <t>キキン</t>
    </rPh>
    <phoneticPr fontId="3"/>
  </si>
  <si>
    <t>小規模企業共済等掛金</t>
    <rPh sb="7" eb="8">
      <t>トウ</t>
    </rPh>
    <phoneticPr fontId="3"/>
  </si>
  <si>
    <t>社会保険料等控除</t>
    <rPh sb="5" eb="6">
      <t>トウ</t>
    </rPh>
    <rPh sb="6" eb="8">
      <t>コウジョ</t>
    </rPh>
    <phoneticPr fontId="3"/>
  </si>
  <si>
    <t>給与等控除分</t>
    <rPh sb="0" eb="2">
      <t>キュウヨ</t>
    </rPh>
    <rPh sb="2" eb="3">
      <t>トウ</t>
    </rPh>
    <rPh sb="3" eb="5">
      <t>コウジョ</t>
    </rPh>
    <rPh sb="5" eb="6">
      <t>ブン</t>
    </rPh>
    <phoneticPr fontId="3"/>
  </si>
  <si>
    <t>申告分</t>
    <rPh sb="2" eb="3">
      <t>ブン</t>
    </rPh>
    <phoneticPr fontId="3"/>
  </si>
  <si>
    <t>収入金額等</t>
    <rPh sb="0" eb="2">
      <t>シュウニュウ</t>
    </rPh>
    <rPh sb="2" eb="4">
      <t>キンガク</t>
    </rPh>
    <rPh sb="4" eb="5">
      <t>トウ</t>
    </rPh>
    <phoneticPr fontId="3"/>
  </si>
  <si>
    <t>必要経費等</t>
    <rPh sb="0" eb="2">
      <t>ヒツヨウ</t>
    </rPh>
    <rPh sb="2" eb="4">
      <t>ケイヒ</t>
    </rPh>
    <rPh sb="4" eb="5">
      <t>トウ</t>
    </rPh>
    <phoneticPr fontId="3"/>
  </si>
  <si>
    <t>所得金額</t>
    <rPh sb="0" eb="2">
      <t>ショトク</t>
    </rPh>
    <rPh sb="2" eb="4">
      <t>キンガク</t>
    </rPh>
    <phoneticPr fontId="3"/>
  </si>
  <si>
    <t>給与所得</t>
    <rPh sb="0" eb="2">
      <t>キュウヨ</t>
    </rPh>
    <rPh sb="2" eb="4">
      <t>ショトク</t>
    </rPh>
    <phoneticPr fontId="3"/>
  </si>
  <si>
    <t>H</t>
    <phoneticPr fontId="3"/>
  </si>
  <si>
    <t>事業所得</t>
    <rPh sb="0" eb="2">
      <t>ジギョウ</t>
    </rPh>
    <rPh sb="2" eb="4">
      <t>ショトク</t>
    </rPh>
    <phoneticPr fontId="3"/>
  </si>
  <si>
    <t>雑所得</t>
    <rPh sb="0" eb="1">
      <t>ザツ</t>
    </rPh>
    <rPh sb="1" eb="3">
      <t>ショトク</t>
    </rPh>
    <phoneticPr fontId="3"/>
  </si>
  <si>
    <t>公的年金等</t>
    <rPh sb="0" eb="2">
      <t>コウテキ</t>
    </rPh>
    <rPh sb="2" eb="4">
      <t>ネンキン</t>
    </rPh>
    <rPh sb="4" eb="5">
      <t>トウ</t>
    </rPh>
    <phoneticPr fontId="3"/>
  </si>
  <si>
    <t>その他</t>
    <rPh sb="2" eb="3">
      <t>タ</t>
    </rPh>
    <phoneticPr fontId="3"/>
  </si>
  <si>
    <t>配当所得</t>
    <rPh sb="0" eb="2">
      <t>ハイトウ</t>
    </rPh>
    <rPh sb="2" eb="4">
      <t>ショトク</t>
    </rPh>
    <phoneticPr fontId="3"/>
  </si>
  <si>
    <t>不動産所得</t>
    <rPh sb="0" eb="3">
      <t>フドウサン</t>
    </rPh>
    <rPh sb="3" eb="5">
      <t>ショトク</t>
    </rPh>
    <phoneticPr fontId="3"/>
  </si>
  <si>
    <t>退職所得</t>
    <rPh sb="0" eb="2">
      <t>タイショク</t>
    </rPh>
    <rPh sb="2" eb="4">
      <t>ショトク</t>
    </rPh>
    <phoneticPr fontId="3"/>
  </si>
  <si>
    <t>短期</t>
    <rPh sb="0" eb="2">
      <t>タンキ</t>
    </rPh>
    <phoneticPr fontId="3"/>
  </si>
  <si>
    <t>中途就・退職</t>
    <rPh sb="0" eb="1">
      <t>ナカ</t>
    </rPh>
    <rPh sb="1" eb="2">
      <t>ト</t>
    </rPh>
    <rPh sb="2" eb="3">
      <t>シュウ</t>
    </rPh>
    <rPh sb="4" eb="5">
      <t>タイ</t>
    </rPh>
    <rPh sb="5" eb="6">
      <t>ショク</t>
    </rPh>
    <phoneticPr fontId="3"/>
  </si>
  <si>
    <t>長期</t>
    <rPh sb="0" eb="2">
      <t>チョウキ</t>
    </rPh>
    <phoneticPr fontId="3"/>
  </si>
  <si>
    <t>一時所得</t>
    <rPh sb="0" eb="2">
      <t>イチジ</t>
    </rPh>
    <rPh sb="2" eb="4">
      <t>ショトク</t>
    </rPh>
    <phoneticPr fontId="3"/>
  </si>
  <si>
    <t>公的年金65歳未満</t>
    <phoneticPr fontId="5"/>
  </si>
  <si>
    <t>加算額</t>
    <rPh sb="0" eb="2">
      <t>カサン</t>
    </rPh>
    <rPh sb="2" eb="3">
      <t>ガク</t>
    </rPh>
    <phoneticPr fontId="5"/>
  </si>
  <si>
    <t>以後</t>
    <phoneticPr fontId="3"/>
  </si>
  <si>
    <t>控除額</t>
    <phoneticPr fontId="3"/>
  </si>
  <si>
    <t>公的年金65歳以上</t>
    <phoneticPr fontId="5"/>
  </si>
  <si>
    <t>以前</t>
    <phoneticPr fontId="3"/>
  </si>
  <si>
    <t>課税所得</t>
    <phoneticPr fontId="3"/>
  </si>
  <si>
    <t>年分</t>
    <phoneticPr fontId="3"/>
  </si>
  <si>
    <t>住所又は居所</t>
    <rPh sb="2" eb="3">
      <t>マタ</t>
    </rPh>
    <rPh sb="4" eb="6">
      <t>キョショ</t>
    </rPh>
    <phoneticPr fontId="3"/>
  </si>
  <si>
    <t>住所</t>
    <phoneticPr fontId="3"/>
  </si>
  <si>
    <t>乙欄</t>
    <rPh sb="0" eb="1">
      <t>オツ</t>
    </rPh>
    <rPh sb="1" eb="2">
      <t>ラン</t>
    </rPh>
    <phoneticPr fontId="3"/>
  </si>
  <si>
    <t>災害者</t>
    <phoneticPr fontId="5"/>
  </si>
  <si>
    <t>年</t>
    <phoneticPr fontId="3"/>
  </si>
  <si>
    <t>月</t>
    <phoneticPr fontId="3"/>
  </si>
  <si>
    <t>（市区町村提出用）</t>
    <phoneticPr fontId="5"/>
  </si>
  <si>
    <t>特別障害者</t>
    <phoneticPr fontId="3"/>
  </si>
  <si>
    <t>左の色の部分以外はシートを保護してますので訂正はできません。(解除パスワードは"1111"です。)</t>
    <rPh sb="0" eb="1">
      <t>ヒダリ</t>
    </rPh>
    <rPh sb="2" eb="3">
      <t>イロ</t>
    </rPh>
    <rPh sb="4" eb="6">
      <t>ブブン</t>
    </rPh>
    <rPh sb="6" eb="8">
      <t>イガイ</t>
    </rPh>
    <phoneticPr fontId="3"/>
  </si>
  <si>
    <t>内未払金額</t>
    <rPh sb="0" eb="1">
      <t>ウチ</t>
    </rPh>
    <rPh sb="1" eb="3">
      <t>ミバライ</t>
    </rPh>
    <rPh sb="3" eb="5">
      <t>キンガク</t>
    </rPh>
    <phoneticPr fontId="3"/>
  </si>
  <si>
    <t>T</t>
    <phoneticPr fontId="3"/>
  </si>
  <si>
    <t>住民税額速算</t>
    <rPh sb="0" eb="3">
      <t>ジュウミンゼイ</t>
    </rPh>
    <phoneticPr fontId="3"/>
  </si>
  <si>
    <t>概算住民税</t>
    <rPh sb="0" eb="2">
      <t>ガイサン</t>
    </rPh>
    <phoneticPr fontId="3"/>
  </si>
  <si>
    <t>給与所得の源泉徴収票</t>
    <phoneticPr fontId="3"/>
  </si>
  <si>
    <t>円</t>
    <rPh sb="0" eb="1">
      <t>エン</t>
    </rPh>
    <phoneticPr fontId="3"/>
  </si>
  <si>
    <t>内</t>
    <rPh sb="0" eb="1">
      <t>ウチ</t>
    </rPh>
    <phoneticPr fontId="3"/>
  </si>
  <si>
    <t>特   定</t>
    <phoneticPr fontId="3"/>
  </si>
  <si>
    <t>特   別</t>
    <phoneticPr fontId="3"/>
  </si>
  <si>
    <t>人</t>
    <phoneticPr fontId="3"/>
  </si>
  <si>
    <t>所得見積額</t>
    <phoneticPr fontId="3"/>
  </si>
  <si>
    <t>給料・賞与</t>
    <phoneticPr fontId="3"/>
  </si>
  <si>
    <t>M</t>
    <phoneticPr fontId="3"/>
  </si>
  <si>
    <t>S</t>
    <phoneticPr fontId="3"/>
  </si>
  <si>
    <t>旧長期</t>
    <rPh sb="0" eb="1">
      <t>キュウ</t>
    </rPh>
    <rPh sb="1" eb="3">
      <t>チョウキ</t>
    </rPh>
    <phoneticPr fontId="3"/>
  </si>
  <si>
    <t>地震</t>
    <rPh sb="0" eb="2">
      <t>ジシン</t>
    </rPh>
    <phoneticPr fontId="3"/>
  </si>
  <si>
    <t>地震保険控除</t>
    <rPh sb="0" eb="2">
      <t>ジシン</t>
    </rPh>
    <phoneticPr fontId="3"/>
  </si>
  <si>
    <t>旧長期金額</t>
    <rPh sb="0" eb="1">
      <t>キュウ</t>
    </rPh>
    <phoneticPr fontId="3"/>
  </si>
  <si>
    <t>地震金額</t>
    <rPh sb="0" eb="2">
      <t>ジシン</t>
    </rPh>
    <phoneticPr fontId="3"/>
  </si>
  <si>
    <t>地震保険料控除</t>
    <rPh sb="0" eb="2">
      <t>ジシン</t>
    </rPh>
    <phoneticPr fontId="3"/>
  </si>
  <si>
    <t>旧長</t>
    <rPh sb="0" eb="1">
      <t>キュウ</t>
    </rPh>
    <phoneticPr fontId="3"/>
  </si>
  <si>
    <t>甲欄</t>
  </si>
  <si>
    <t>社会保険料控除</t>
    <rPh sb="0" eb="2">
      <t>シャカイ</t>
    </rPh>
    <rPh sb="2" eb="4">
      <t>ホケン</t>
    </rPh>
    <rPh sb="4" eb="5">
      <t>リョウ</t>
    </rPh>
    <rPh sb="5" eb="7">
      <t>コウジョ</t>
    </rPh>
    <phoneticPr fontId="3"/>
  </si>
  <si>
    <t>地震保険料等</t>
    <rPh sb="0" eb="2">
      <t>ジシン</t>
    </rPh>
    <rPh sb="5" eb="6">
      <t>トウ</t>
    </rPh>
    <phoneticPr fontId="3"/>
  </si>
  <si>
    <t>住宅借入金等特別控除額</t>
    <rPh sb="2" eb="4">
      <t>カリイレ</t>
    </rPh>
    <rPh sb="4" eb="5">
      <t>キン</t>
    </rPh>
    <rPh sb="10" eb="11">
      <t>ガク</t>
    </rPh>
    <phoneticPr fontId="3"/>
  </si>
  <si>
    <t>同居特別障害者</t>
    <phoneticPr fontId="3"/>
  </si>
  <si>
    <t>同居特別以外障害者</t>
    <rPh sb="2" eb="4">
      <t>トクベツ</t>
    </rPh>
    <rPh sb="4" eb="6">
      <t>イガイ</t>
    </rPh>
    <phoneticPr fontId="3"/>
  </si>
  <si>
    <t>人</t>
    <rPh sb="0" eb="1">
      <t>ニン</t>
    </rPh>
    <phoneticPr fontId="3"/>
  </si>
  <si>
    <t>控除対象扶養親族の数</t>
    <rPh sb="0" eb="2">
      <t>コウジョ</t>
    </rPh>
    <rPh sb="2" eb="4">
      <t>タイショウ</t>
    </rPh>
    <phoneticPr fontId="3"/>
  </si>
  <si>
    <t>障害者等控除</t>
    <phoneticPr fontId="3"/>
  </si>
  <si>
    <t>②</t>
    <phoneticPr fontId="3"/>
  </si>
  <si>
    <t>③</t>
    <phoneticPr fontId="3"/>
  </si>
  <si>
    <t>氏名</t>
    <phoneticPr fontId="3"/>
  </si>
  <si>
    <t>年少</t>
    <rPh sb="0" eb="2">
      <t>ネンショウ</t>
    </rPh>
    <phoneticPr fontId="3"/>
  </si>
  <si>
    <t>老・特</t>
    <phoneticPr fontId="3"/>
  </si>
  <si>
    <t>小規模企業共済等</t>
    <rPh sb="3" eb="5">
      <t>キギョウ</t>
    </rPh>
    <rPh sb="5" eb="7">
      <t>キョウサイ</t>
    </rPh>
    <rPh sb="7" eb="8">
      <t>トウ</t>
    </rPh>
    <phoneticPr fontId="3"/>
  </si>
  <si>
    <t>②イ</t>
    <phoneticPr fontId="3"/>
  </si>
  <si>
    <t>②ロ</t>
    <phoneticPr fontId="3"/>
  </si>
  <si>
    <t>②ハ</t>
    <phoneticPr fontId="3"/>
  </si>
  <si>
    <t>②ホ</t>
    <phoneticPr fontId="3"/>
  </si>
  <si>
    <t>②へ</t>
    <phoneticPr fontId="3"/>
  </si>
  <si>
    <t>②ト</t>
    <phoneticPr fontId="3"/>
  </si>
  <si>
    <t>↑</t>
    <phoneticPr fontId="3"/>
  </si>
  <si>
    <t>②ニ</t>
    <phoneticPr fontId="3"/>
  </si>
  <si>
    <t>支払
を受け
る者</t>
    <rPh sb="0" eb="1">
      <t>シ</t>
    </rPh>
    <rPh sb="1" eb="2">
      <t>フツ</t>
    </rPh>
    <rPh sb="4" eb="5">
      <t>ウ</t>
    </rPh>
    <rPh sb="8" eb="9">
      <t>モノ</t>
    </rPh>
    <phoneticPr fontId="3"/>
  </si>
  <si>
    <t>住所(居 所)
又は所在地</t>
    <phoneticPr fontId="3"/>
  </si>
  <si>
    <t>介護医療</t>
    <rPh sb="0" eb="2">
      <t>カイゴ</t>
    </rPh>
    <rPh sb="2" eb="4">
      <t>イリョウ</t>
    </rPh>
    <phoneticPr fontId="3"/>
  </si>
  <si>
    <t>旧一般</t>
    <rPh sb="0" eb="1">
      <t>キュウ</t>
    </rPh>
    <phoneticPr fontId="3"/>
  </si>
  <si>
    <t>旧年金</t>
    <rPh sb="0" eb="1">
      <t>キュウ</t>
    </rPh>
    <phoneticPr fontId="3"/>
  </si>
  <si>
    <t>生命保険料</t>
    <phoneticPr fontId="3"/>
  </si>
  <si>
    <t>－</t>
    <phoneticPr fontId="3"/>
  </si>
  <si>
    <t>生命保険料控除</t>
    <phoneticPr fontId="3"/>
  </si>
  <si>
    <t>新生命金額</t>
    <rPh sb="0" eb="1">
      <t>シン</t>
    </rPh>
    <rPh sb="1" eb="3">
      <t>セイメイ</t>
    </rPh>
    <phoneticPr fontId="3"/>
  </si>
  <si>
    <t>介護</t>
    <rPh sb="0" eb="2">
      <t>カイゴ</t>
    </rPh>
    <phoneticPr fontId="3"/>
  </si>
  <si>
    <t>旧一般金額</t>
    <rPh sb="1" eb="3">
      <t>イッパン</t>
    </rPh>
    <phoneticPr fontId="3"/>
  </si>
  <si>
    <t>一般計</t>
    <rPh sb="0" eb="2">
      <t>イッパン</t>
    </rPh>
    <phoneticPr fontId="3"/>
  </si>
  <si>
    <t>年金計</t>
    <rPh sb="0" eb="2">
      <t>ネンキン</t>
    </rPh>
    <phoneticPr fontId="3"/>
  </si>
  <si>
    <t>新年金</t>
    <rPh sb="0" eb="1">
      <t>シン</t>
    </rPh>
    <phoneticPr fontId="3"/>
  </si>
  <si>
    <t>新一般</t>
    <rPh sb="0" eb="1">
      <t>シン</t>
    </rPh>
    <phoneticPr fontId="3"/>
  </si>
  <si>
    <t>計</t>
    <phoneticPr fontId="3"/>
  </si>
  <si>
    <t>氏名又は名称</t>
    <phoneticPr fontId="3"/>
  </si>
  <si>
    <t>勤労学生</t>
    <phoneticPr fontId="3"/>
  </si>
  <si>
    <t>(×102.1%)</t>
    <phoneticPr fontId="3"/>
  </si>
  <si>
    <t>年調所得税額</t>
    <rPh sb="0" eb="2">
      <t>ネンチョウ</t>
    </rPh>
    <rPh sb="2" eb="4">
      <t>ショトク</t>
    </rPh>
    <phoneticPr fontId="3"/>
  </si>
  <si>
    <t>外国人</t>
    <phoneticPr fontId="5"/>
  </si>
  <si>
    <t>※</t>
    <phoneticPr fontId="3"/>
  </si>
  <si>
    <t>（配 偶 者 を 除 く。）</t>
    <phoneticPr fontId="3"/>
  </si>
  <si>
    <t>(本人を除く。)</t>
    <phoneticPr fontId="3"/>
  </si>
  <si>
    <t>年調年税額</t>
    <rPh sb="0" eb="2">
      <t>ネンチョウ</t>
    </rPh>
    <rPh sb="2" eb="5">
      <t>ネンゼイガク</t>
    </rPh>
    <phoneticPr fontId="3"/>
  </si>
  <si>
    <t>16歳未満扶養親族の数</t>
    <rPh sb="2" eb="5">
      <t>サイミマン</t>
    </rPh>
    <rPh sb="5" eb="7">
      <t>フヨウ</t>
    </rPh>
    <rPh sb="7" eb="9">
      <t>シンゾク</t>
    </rPh>
    <rPh sb="10" eb="11">
      <t>カズ</t>
    </rPh>
    <phoneticPr fontId="3"/>
  </si>
  <si>
    <t>住宅借入金等特別控除の額</t>
    <rPh sb="2" eb="4">
      <t>カリイレ</t>
    </rPh>
    <rPh sb="4" eb="5">
      <t>キン</t>
    </rPh>
    <phoneticPr fontId="3"/>
  </si>
  <si>
    <t>地震保険料の控除額</t>
    <rPh sb="0" eb="2">
      <t>ジシン</t>
    </rPh>
    <phoneticPr fontId="3"/>
  </si>
  <si>
    <t>生命保険料の控除額</t>
    <phoneticPr fontId="3"/>
  </si>
  <si>
    <t>社会保険料等の金額</t>
    <phoneticPr fontId="5"/>
  </si>
  <si>
    <t>所得控除の額の合計額</t>
    <phoneticPr fontId="3"/>
  </si>
  <si>
    <t>氏名</t>
    <phoneticPr fontId="5"/>
  </si>
  <si>
    <t>(個人番号)</t>
    <rPh sb="1" eb="3">
      <t>コジン</t>
    </rPh>
    <rPh sb="3" eb="5">
      <t>バンゴウ</t>
    </rPh>
    <phoneticPr fontId="3"/>
  </si>
  <si>
    <t>源 泉 徴 収 税 額</t>
    <phoneticPr fontId="3"/>
  </si>
  <si>
    <t>給与所得控除後の金額</t>
    <phoneticPr fontId="3"/>
  </si>
  <si>
    <t>生命保険料の金額の内訳</t>
    <rPh sb="0" eb="2">
      <t>セイメイ</t>
    </rPh>
    <rPh sb="2" eb="4">
      <t>ホケン</t>
    </rPh>
    <rPh sb="4" eb="5">
      <t>リョウ</t>
    </rPh>
    <rPh sb="6" eb="8">
      <t>キンガク</t>
    </rPh>
    <rPh sb="9" eb="11">
      <t>ウチワケ</t>
    </rPh>
    <phoneticPr fontId="5"/>
  </si>
  <si>
    <t>住宅借入金等特別控除の額の内訳</t>
    <phoneticPr fontId="3"/>
  </si>
  <si>
    <t>日</t>
    <rPh sb="0" eb="1">
      <t>ニチ</t>
    </rPh>
    <phoneticPr fontId="3"/>
  </si>
  <si>
    <t>月</t>
    <rPh sb="0" eb="1">
      <t>ツキ</t>
    </rPh>
    <phoneticPr fontId="3"/>
  </si>
  <si>
    <t>年</t>
    <rPh sb="0" eb="1">
      <t>ネン</t>
    </rPh>
    <phoneticPr fontId="3"/>
  </si>
  <si>
    <t>個人番号</t>
    <phoneticPr fontId="3"/>
  </si>
  <si>
    <t>区
分</t>
    <rPh sb="0" eb="1">
      <t>ク</t>
    </rPh>
    <rPh sb="2" eb="3">
      <t>ブン</t>
    </rPh>
    <phoneticPr fontId="3"/>
  </si>
  <si>
    <t>(フリガナ)</t>
    <phoneticPr fontId="3"/>
  </si>
  <si>
    <t>配偶者の
合計所得</t>
    <phoneticPr fontId="5"/>
  </si>
  <si>
    <t>国民年金保険
料等の金額</t>
    <phoneticPr fontId="5"/>
  </si>
  <si>
    <t>旧長期損害
保険料の金額</t>
    <phoneticPr fontId="5"/>
  </si>
  <si>
    <t>控除対象扶養親族</t>
    <rPh sb="0" eb="2">
      <t>コウジョ</t>
    </rPh>
    <rPh sb="2" eb="4">
      <t>タイショウ</t>
    </rPh>
    <rPh sb="4" eb="6">
      <t>フヨウ</t>
    </rPh>
    <rPh sb="6" eb="8">
      <t>シンゾク</t>
    </rPh>
    <phoneticPr fontId="3"/>
  </si>
  <si>
    <t>16歳未満の扶養親族</t>
    <rPh sb="2" eb="3">
      <t>サイ</t>
    </rPh>
    <rPh sb="3" eb="5">
      <t>ミマン</t>
    </rPh>
    <rPh sb="6" eb="8">
      <t>フヨウ</t>
    </rPh>
    <rPh sb="8" eb="10">
      <t>シンゾク</t>
    </rPh>
    <phoneticPr fontId="3"/>
  </si>
  <si>
    <t>居住開始年月
日(1回目)</t>
    <phoneticPr fontId="3"/>
  </si>
  <si>
    <t>居住開始年月
日(2回目)</t>
    <phoneticPr fontId="3"/>
  </si>
  <si>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5"/>
  </si>
  <si>
    <t>住宅借入金
等特別控除
可能額</t>
    <rPh sb="0" eb="2">
      <t>ジュウタク</t>
    </rPh>
    <rPh sb="2" eb="4">
      <t>カリイレ</t>
    </rPh>
    <rPh sb="4" eb="5">
      <t>キン</t>
    </rPh>
    <rPh sb="6" eb="7">
      <t>トウ</t>
    </rPh>
    <rPh sb="7" eb="9">
      <t>トクベツ</t>
    </rPh>
    <rPh sb="9" eb="11">
      <t>コウジョ</t>
    </rPh>
    <rPh sb="12" eb="15">
      <t>カノウガク</t>
    </rPh>
    <phoneticPr fontId="5"/>
  </si>
  <si>
    <t>個人番号又は
法人番号</t>
    <rPh sb="4" eb="5">
      <t>マタ</t>
    </rPh>
    <rPh sb="7" eb="9">
      <t>ホウジン</t>
    </rPh>
    <rPh sb="9" eb="11">
      <t>バンゴウ</t>
    </rPh>
    <phoneticPr fontId="3"/>
  </si>
  <si>
    <t>(電話)</t>
    <phoneticPr fontId="3"/>
  </si>
  <si>
    <t>(右詰で記載してください。)</t>
    <rPh sb="1" eb="3">
      <t>ミギヅメ</t>
    </rPh>
    <rPh sb="4" eb="6">
      <t>キサイ</t>
    </rPh>
    <phoneticPr fontId="3"/>
  </si>
  <si>
    <t>（摘要）に前職分の加算額、支払者等を記入してください。</t>
    <phoneticPr fontId="3"/>
  </si>
  <si>
    <t>※区分</t>
    <phoneticPr fontId="3"/>
  </si>
  <si>
    <t>個人番号</t>
    <rPh sb="0" eb="2">
      <t>コジン</t>
    </rPh>
    <rPh sb="2" eb="4">
      <t>バンゴウ</t>
    </rPh>
    <phoneticPr fontId="3"/>
  </si>
  <si>
    <t>法人(個人)番号</t>
    <rPh sb="0" eb="2">
      <t>ホウジン</t>
    </rPh>
    <phoneticPr fontId="3"/>
  </si>
  <si>
    <t>住宅借入金等特別控除の額の内訳</t>
  </si>
  <si>
    <t>適用数</t>
    <rPh sb="0" eb="2">
      <t>テキヨウ</t>
    </rPh>
    <rPh sb="2" eb="3">
      <t>スウ</t>
    </rPh>
    <phoneticPr fontId="5"/>
  </si>
  <si>
    <t>非居住者</t>
    <phoneticPr fontId="3"/>
  </si>
  <si>
    <t>色は該当する場合ドロップダウンリストから"○"or"人数"などを選択する</t>
    <rPh sb="0" eb="1">
      <t>イロ</t>
    </rPh>
    <rPh sb="2" eb="4">
      <t>ガイトウ</t>
    </rPh>
    <rPh sb="6" eb="8">
      <t>バアイ</t>
    </rPh>
    <rPh sb="32" eb="34">
      <t>センタク</t>
    </rPh>
    <phoneticPr fontId="3"/>
  </si>
  <si>
    <t>非居住者親族数</t>
    <phoneticPr fontId="3"/>
  </si>
  <si>
    <t>住民税の徴収方法</t>
    <rPh sb="0" eb="3">
      <t>ジュウミンゼイ</t>
    </rPh>
    <rPh sb="4" eb="6">
      <t>チョウシュウ</t>
    </rPh>
    <rPh sb="6" eb="8">
      <t>ホウホウ</t>
    </rPh>
    <phoneticPr fontId="3"/>
  </si>
  <si>
    <t>前職情報等</t>
    <rPh sb="0" eb="2">
      <t>ゼンショク</t>
    </rPh>
    <rPh sb="2" eb="4">
      <t>ジョウホウ</t>
    </rPh>
    <rPh sb="4" eb="5">
      <t>トウ</t>
    </rPh>
    <phoneticPr fontId="3"/>
  </si>
  <si>
    <t>源泉徴収票　摘要欄記載事項</t>
    <rPh sb="0" eb="2">
      <t>ゲンセン</t>
    </rPh>
    <rPh sb="2" eb="4">
      <t>チョウシュウ</t>
    </rPh>
    <rPh sb="4" eb="5">
      <t>ヒョウ</t>
    </rPh>
    <rPh sb="6" eb="8">
      <t>テキヨウ</t>
    </rPh>
    <rPh sb="8" eb="9">
      <t>ラン</t>
    </rPh>
    <rPh sb="9" eb="11">
      <t>キサイ</t>
    </rPh>
    <rPh sb="11" eb="13">
      <t>ジコウ</t>
    </rPh>
    <phoneticPr fontId="3"/>
  </si>
  <si>
    <t>(1回目)</t>
    <phoneticPr fontId="3"/>
  </si>
  <si>
    <t>(2回目)</t>
  </si>
  <si>
    <t>扶養親族5人以上情報その他</t>
    <rPh sb="5" eb="6">
      <t>ヒト</t>
    </rPh>
    <rPh sb="6" eb="8">
      <t>イジョウ</t>
    </rPh>
    <rPh sb="12" eb="13">
      <t>タ</t>
    </rPh>
    <phoneticPr fontId="3"/>
  </si>
  <si>
    <t>新生命
保険料
の金額</t>
    <rPh sb="0" eb="1">
      <t>シン</t>
    </rPh>
    <rPh sb="1" eb="3">
      <t>セイメイ</t>
    </rPh>
    <rPh sb="4" eb="6">
      <t>ホケン</t>
    </rPh>
    <rPh sb="6" eb="7">
      <t>リョウ</t>
    </rPh>
    <rPh sb="9" eb="11">
      <t>キンガク</t>
    </rPh>
    <phoneticPr fontId="5"/>
  </si>
  <si>
    <t>旧生命
保険料
の金額</t>
    <phoneticPr fontId="5"/>
  </si>
  <si>
    <t>介護医療
保険料
の金額</t>
    <phoneticPr fontId="5"/>
  </si>
  <si>
    <t>新個人年金
保険料
の金額</t>
    <phoneticPr fontId="5"/>
  </si>
  <si>
    <t>旧個人年金
保険料
の金額</t>
    <phoneticPr fontId="5"/>
  </si>
  <si>
    <t>住宅借入金等
年末残高
(1回目)</t>
    <phoneticPr fontId="3"/>
  </si>
  <si>
    <t>住宅借入金等
年末残高
(2回目)</t>
    <phoneticPr fontId="3"/>
  </si>
  <si>
    <t>住宅借入金等
特別控除区分
(1回目)</t>
    <phoneticPr fontId="3"/>
  </si>
  <si>
    <t>住宅借入金等
特別控除区分
(2回目)</t>
    <phoneticPr fontId="3"/>
  </si>
  <si>
    <t>（税務署提出用）</t>
    <rPh sb="1" eb="4">
      <t>ゼイムショ</t>
    </rPh>
    <phoneticPr fontId="5"/>
  </si>
  <si>
    <t>有</t>
    <phoneticPr fontId="3"/>
  </si>
  <si>
    <t>円</t>
    <phoneticPr fontId="3"/>
  </si>
  <si>
    <t>内</t>
    <phoneticPr fontId="3"/>
  </si>
  <si>
    <t>特別</t>
    <rPh sb="0" eb="1">
      <t>トク</t>
    </rPh>
    <rPh sb="1" eb="2">
      <t>ベツ</t>
    </rPh>
    <phoneticPr fontId="3"/>
  </si>
  <si>
    <t>(備考)</t>
    <rPh sb="1" eb="3">
      <t>ビコウ</t>
    </rPh>
    <phoneticPr fontId="3"/>
  </si>
  <si>
    <t>375-1</t>
    <phoneticPr fontId="3"/>
  </si>
  <si>
    <t>（受給者交付用）</t>
    <rPh sb="1" eb="4">
      <t>ジュキュウシャ</t>
    </rPh>
    <rPh sb="4" eb="6">
      <t>コウフ</t>
    </rPh>
    <phoneticPr fontId="5"/>
  </si>
  <si>
    <t>居住開始日</t>
    <phoneticPr fontId="3"/>
  </si>
  <si>
    <t>住宅借入金等特別控除額</t>
    <phoneticPr fontId="3"/>
  </si>
  <si>
    <t>区分</t>
    <phoneticPr fontId="3"/>
  </si>
  <si>
    <t>借入金年末残高</t>
    <phoneticPr fontId="3"/>
  </si>
  <si>
    <t>特別控除可能額</t>
    <phoneticPr fontId="3"/>
  </si>
  <si>
    <r>
      <t>16歳未満</t>
    </r>
    <r>
      <rPr>
        <sz val="9"/>
        <rFont val="MS UI Gothic"/>
        <family val="3"/>
        <charset val="128"/>
      </rPr>
      <t>の
扶養親族</t>
    </r>
    <rPh sb="3" eb="5">
      <t>ミマン</t>
    </rPh>
    <phoneticPr fontId="3"/>
  </si>
  <si>
    <t>特定</t>
    <rPh sb="0" eb="2">
      <t>トクテイ</t>
    </rPh>
    <phoneticPr fontId="3"/>
  </si>
  <si>
    <t>従たる給与等の支払者</t>
    <rPh sb="0" eb="1">
      <t>ジュウ</t>
    </rPh>
    <rPh sb="3" eb="5">
      <t>キュウヨ</t>
    </rPh>
    <rPh sb="5" eb="6">
      <t>トウ</t>
    </rPh>
    <rPh sb="7" eb="9">
      <t>シハライ</t>
    </rPh>
    <rPh sb="9" eb="10">
      <t>シャ</t>
    </rPh>
    <phoneticPr fontId="3"/>
  </si>
  <si>
    <t>老人</t>
    <rPh sb="0" eb="2">
      <t>ロウジン</t>
    </rPh>
    <phoneticPr fontId="3"/>
  </si>
  <si>
    <t>マイナンバーは、個人情報保護のために、その管理に当たっては、安全管理措置などが義務付けられます。</t>
    <phoneticPr fontId="3"/>
  </si>
  <si>
    <t>法令に従い十分に気を付けて取り扱ってください。</t>
    <rPh sb="0" eb="2">
      <t>ホウレイ</t>
    </rPh>
    <rPh sb="3" eb="4">
      <t>シタガ</t>
    </rPh>
    <rPh sb="5" eb="7">
      <t>ジュウブン</t>
    </rPh>
    <rPh sb="8" eb="9">
      <t>キ</t>
    </rPh>
    <rPh sb="10" eb="11">
      <t>ツ</t>
    </rPh>
    <rPh sb="13" eb="14">
      <t>ト</t>
    </rPh>
    <rPh sb="15" eb="16">
      <t>アツカ</t>
    </rPh>
    <phoneticPr fontId="3"/>
  </si>
  <si>
    <t>支払った金額</t>
    <rPh sb="0" eb="2">
      <t>シハラ</t>
    </rPh>
    <rPh sb="4" eb="6">
      <t>キンガク</t>
    </rPh>
    <phoneticPr fontId="3"/>
  </si>
  <si>
    <t>④</t>
    <phoneticPr fontId="3"/>
  </si>
  <si>
    <t>⑤</t>
    <phoneticPr fontId="3"/>
  </si>
  <si>
    <t>⑥</t>
    <phoneticPr fontId="3"/>
  </si>
  <si>
    <t>⑦</t>
    <phoneticPr fontId="3"/>
  </si>
  <si>
    <t>扶養親族5人以上情報</t>
    <phoneticPr fontId="3"/>
  </si>
  <si>
    <t>同居区分</t>
    <rPh sb="0" eb="2">
      <t>ドウキョ</t>
    </rPh>
    <rPh sb="2" eb="4">
      <t>クブン</t>
    </rPh>
    <phoneticPr fontId="3"/>
  </si>
  <si>
    <t>扶養区分</t>
    <rPh sb="0" eb="2">
      <t>フヨウ</t>
    </rPh>
    <rPh sb="2" eb="4">
      <t>クブン</t>
    </rPh>
    <phoneticPr fontId="3"/>
  </si>
  <si>
    <t>同居</t>
    <rPh sb="0" eb="2">
      <t>ドウキョ</t>
    </rPh>
    <phoneticPr fontId="3"/>
  </si>
  <si>
    <t>同居以外</t>
    <rPh sb="0" eb="2">
      <t>ドウキョ</t>
    </rPh>
    <rPh sb="2" eb="4">
      <t>イガイ</t>
    </rPh>
    <phoneticPr fontId="3"/>
  </si>
  <si>
    <t>老親等</t>
    <rPh sb="0" eb="2">
      <t>ロウシン</t>
    </rPh>
    <rPh sb="2" eb="3">
      <t>トウ</t>
    </rPh>
    <phoneticPr fontId="3"/>
  </si>
  <si>
    <t>非居住者等</t>
    <rPh sb="4" eb="5">
      <t>トウ</t>
    </rPh>
    <phoneticPr fontId="3"/>
  </si>
  <si>
    <t>○</t>
    <phoneticPr fontId="3"/>
  </si>
  <si>
    <t>非居住者である親族の数</t>
    <phoneticPr fontId="3"/>
  </si>
  <si>
    <r>
      <rPr>
        <b/>
        <sz val="11"/>
        <rFont val="MS UI Gothic"/>
        <family val="3"/>
        <charset val="128"/>
      </rPr>
      <t>B</t>
    </r>
    <r>
      <rPr>
        <sz val="9"/>
        <rFont val="MS UI Gothic"/>
        <family val="3"/>
        <charset val="128"/>
      </rPr>
      <t>控除対象
扶養親族</t>
    </r>
    <r>
      <rPr>
        <sz val="9"/>
        <color indexed="10"/>
        <rFont val="MS UI Gothic"/>
        <family val="3"/>
        <charset val="128"/>
      </rPr>
      <t xml:space="preserve">
</t>
    </r>
    <r>
      <rPr>
        <sz val="9"/>
        <rFont val="MS UI Gothic"/>
        <family val="3"/>
        <charset val="128"/>
      </rPr>
      <t>(</t>
    </r>
    <r>
      <rPr>
        <sz val="9"/>
        <color indexed="10"/>
        <rFont val="MS UI Gothic"/>
        <family val="3"/>
        <charset val="128"/>
      </rPr>
      <t>16歳以上</t>
    </r>
    <r>
      <rPr>
        <sz val="9"/>
        <rFont val="MS UI Gothic"/>
        <family val="3"/>
        <charset val="128"/>
      </rPr>
      <t>)</t>
    </r>
    <phoneticPr fontId="3"/>
  </si>
  <si>
    <t>C</t>
    <phoneticPr fontId="3"/>
  </si>
  <si>
    <r>
      <t>5人目以降の</t>
    </r>
    <r>
      <rPr>
        <sz val="9"/>
        <color rgb="FFFF0000"/>
        <rFont val="MS UI Gothic"/>
        <family val="3"/>
        <charset val="128"/>
      </rPr>
      <t>16歳未満</t>
    </r>
    <r>
      <rPr>
        <sz val="9"/>
        <rFont val="MS UI Gothic"/>
        <family val="3"/>
        <charset val="128"/>
      </rPr>
      <t>の扶養親族</t>
    </r>
    <phoneticPr fontId="3"/>
  </si>
  <si>
    <r>
      <t>5人目以降の控除対象扶養親族(</t>
    </r>
    <r>
      <rPr>
        <sz val="9"/>
        <color rgb="FFFF0000"/>
        <rFont val="MS UI Gothic"/>
        <family val="3"/>
        <charset val="128"/>
      </rPr>
      <t>16歳以上</t>
    </r>
    <r>
      <rPr>
        <sz val="9"/>
        <rFont val="MS UI Gothic"/>
        <family val="3"/>
        <charset val="128"/>
      </rPr>
      <t>)</t>
    </r>
    <phoneticPr fontId="3"/>
  </si>
  <si>
    <t>5人目以降の対象者がいる方は下記を入力してください。</t>
    <rPh sb="6" eb="9">
      <t>タイショウシャ</t>
    </rPh>
    <rPh sb="12" eb="13">
      <t>カタ</t>
    </rPh>
    <rPh sb="14" eb="16">
      <t>カキ</t>
    </rPh>
    <rPh sb="17" eb="19">
      <t>ニュウリョク</t>
    </rPh>
    <phoneticPr fontId="3"/>
  </si>
  <si>
    <t>○住民税に関する事項</t>
    <phoneticPr fontId="3"/>
  </si>
  <si>
    <r>
      <rPr>
        <b/>
        <sz val="9"/>
        <rFont val="MS UI Gothic"/>
        <family val="3"/>
        <charset val="128"/>
      </rPr>
      <t>B</t>
    </r>
    <r>
      <rPr>
        <sz val="9"/>
        <rFont val="MS UI Gothic"/>
        <family val="3"/>
        <charset val="128"/>
      </rPr>
      <t>控除対象扶養親族</t>
    </r>
    <phoneticPr fontId="3"/>
  </si>
  <si>
    <t>配偶者(特別)
控除の額</t>
    <phoneticPr fontId="3"/>
  </si>
  <si>
    <t>(源泉・特別)控除対象配偶者</t>
    <rPh sb="1" eb="3">
      <t>ゲンセン</t>
    </rPh>
    <rPh sb="4" eb="6">
      <t>トクベツ</t>
    </rPh>
    <rPh sb="7" eb="9">
      <t>コウジョ</t>
    </rPh>
    <rPh sb="9" eb="11">
      <t>タイショウ</t>
    </rPh>
    <rPh sb="11" eb="14">
      <t>ハイグウシャ</t>
    </rPh>
    <phoneticPr fontId="3"/>
  </si>
  <si>
    <t>A</t>
    <phoneticPr fontId="3"/>
  </si>
  <si>
    <t>B</t>
    <phoneticPr fontId="3"/>
  </si>
  <si>
    <t>区分Ⅰ</t>
    <rPh sb="0" eb="2">
      <t>クブン</t>
    </rPh>
    <phoneticPr fontId="3"/>
  </si>
  <si>
    <t>区分Ⅱ</t>
    <rPh sb="0" eb="2">
      <t>クブン</t>
    </rPh>
    <phoneticPr fontId="3"/>
  </si>
  <si>
    <t>対象外</t>
    <rPh sb="0" eb="2">
      <t>タイショウ</t>
    </rPh>
    <rPh sb="2" eb="3">
      <t>ガイ</t>
    </rPh>
    <phoneticPr fontId="3"/>
  </si>
  <si>
    <t>中・退/年月日</t>
    <rPh sb="4" eb="7">
      <t>ネン</t>
    </rPh>
    <phoneticPr fontId="3"/>
  </si>
  <si>
    <t>配偶者(特別)控除</t>
    <phoneticPr fontId="3"/>
  </si>
  <si>
    <t>③④金額</t>
    <phoneticPr fontId="3"/>
  </si>
  <si>
    <t>配偶者控除</t>
    <rPh sb="0" eb="3">
      <t>ハイグウシャ</t>
    </rPh>
    <rPh sb="3" eb="5">
      <t>コウジョ</t>
    </rPh>
    <phoneticPr fontId="3"/>
  </si>
  <si>
    <t>判定</t>
    <rPh sb="0" eb="2">
      <t>ハンテイ</t>
    </rPh>
    <phoneticPr fontId="3"/>
  </si>
  <si>
    <t>あなたの</t>
    <phoneticPr fontId="3"/>
  </si>
  <si>
    <t>配偶者の</t>
    <rPh sb="0" eb="3">
      <t>ハイグウシャ</t>
    </rPh>
    <phoneticPr fontId="3"/>
  </si>
  <si>
    <t>令和</t>
    <rPh sb="0" eb="1">
      <t>レイ</t>
    </rPh>
    <rPh sb="1" eb="2">
      <t>ワ</t>
    </rPh>
    <phoneticPr fontId="3"/>
  </si>
  <si>
    <t>ひとり親</t>
    <phoneticPr fontId="3"/>
  </si>
  <si>
    <t>所得金額調整控除額</t>
    <phoneticPr fontId="3"/>
  </si>
  <si>
    <r>
      <rPr>
        <sz val="6"/>
        <rFont val="MS UI Gothic"/>
        <family val="3"/>
        <charset val="128"/>
      </rPr>
      <t>給与所得控除後の給与等の金額</t>
    </r>
    <r>
      <rPr>
        <sz val="9"/>
        <rFont val="MS UI Gothic"/>
        <family val="3"/>
        <charset val="128"/>
      </rPr>
      <t>（調整控除後）</t>
    </r>
    <phoneticPr fontId="3"/>
  </si>
  <si>
    <t>21
22</t>
    <phoneticPr fontId="3"/>
  </si>
  <si>
    <t>7
8</t>
    <phoneticPr fontId="3"/>
  </si>
  <si>
    <t>基礎控除</t>
    <phoneticPr fontId="3"/>
  </si>
  <si>
    <t>合計所得(見積)</t>
    <phoneticPr fontId="3"/>
  </si>
  <si>
    <t>基礎控除の額</t>
    <rPh sb="0" eb="2">
      <t>キソ</t>
    </rPh>
    <rPh sb="2" eb="4">
      <t>コウジョ</t>
    </rPh>
    <rPh sb="5" eb="6">
      <t>ガク</t>
    </rPh>
    <phoneticPr fontId="3"/>
  </si>
  <si>
    <t>譲渡
所得</t>
    <rPh sb="0" eb="2">
      <t>ジョウト</t>
    </rPh>
    <rPh sb="3" eb="5">
      <t>ショトク</t>
    </rPh>
    <phoneticPr fontId="3"/>
  </si>
  <si>
    <t>ひとり親</t>
    <rPh sb="3" eb="4">
      <t>オヤ</t>
    </rPh>
    <phoneticPr fontId="3"/>
  </si>
  <si>
    <t>扶養親族が特別障害者</t>
    <rPh sb="9" eb="10">
      <t>シャ</t>
    </rPh>
    <phoneticPr fontId="3"/>
  </si>
  <si>
    <t>同一生計配偶者が特別障害者</t>
    <rPh sb="12" eb="13">
      <t>シャ</t>
    </rPh>
    <phoneticPr fontId="3"/>
  </si>
  <si>
    <t>あなた自身が特別障害者</t>
  </si>
  <si>
    <t>配偶者特別控除</t>
    <phoneticPr fontId="3"/>
  </si>
  <si>
    <t>注１　配偶者の本年中の合計所得金額の見積額の計算</t>
    <rPh sb="0" eb="1">
      <t>チュウ</t>
    </rPh>
    <phoneticPr fontId="3"/>
  </si>
  <si>
    <t>☆扶養親族等</t>
    <phoneticPr fontId="3"/>
  </si>
  <si>
    <t>★特別障害者</t>
    <phoneticPr fontId="3"/>
  </si>
  <si>
    <t>給与以外の所得</t>
    <rPh sb="0" eb="2">
      <t>キュウヨ</t>
    </rPh>
    <rPh sb="2" eb="4">
      <t>イガイ</t>
    </rPh>
    <rPh sb="5" eb="7">
      <t>ショトク</t>
    </rPh>
    <phoneticPr fontId="3"/>
  </si>
  <si>
    <t>あ　な　た　の</t>
    <phoneticPr fontId="3"/>
  </si>
  <si>
    <t>配　偶　者　の</t>
    <phoneticPr fontId="3"/>
  </si>
  <si>
    <t>同一生計</t>
    <rPh sb="0" eb="2">
      <t>ドウイツ</t>
    </rPh>
    <rPh sb="2" eb="4">
      <t>セイケイ</t>
    </rPh>
    <phoneticPr fontId="3"/>
  </si>
  <si>
    <t>扶養</t>
    <phoneticPr fontId="3"/>
  </si>
  <si>
    <t>親族</t>
    <rPh sb="0" eb="2">
      <t>シンゾク</t>
    </rPh>
    <phoneticPr fontId="3"/>
  </si>
  <si>
    <t>①</t>
  </si>
  <si>
    <t>②</t>
  </si>
  <si>
    <t>③</t>
  </si>
  <si>
    <t>④</t>
  </si>
  <si>
    <t>⑤</t>
  </si>
  <si>
    <t>⑥</t>
  </si>
  <si>
    <t>⑦</t>
  </si>
  <si>
    <t>23才未満</t>
    <rPh sb="2" eb="3">
      <t>サイ</t>
    </rPh>
    <rPh sb="3" eb="5">
      <t>ミマン</t>
    </rPh>
    <phoneticPr fontId="3"/>
  </si>
  <si>
    <t>有</t>
  </si>
  <si>
    <t>寡婦</t>
    <rPh sb="0" eb="2">
      <t>カフ</t>
    </rPh>
    <phoneticPr fontId="3"/>
  </si>
  <si>
    <t>勤労学生</t>
    <rPh sb="0" eb="2">
      <t>キンロウ</t>
    </rPh>
    <rPh sb="2" eb="4">
      <t>ガクセイ</t>
    </rPh>
    <phoneticPr fontId="3"/>
  </si>
  <si>
    <t>所得金額
調整控除額</t>
    <phoneticPr fontId="3"/>
  </si>
  <si>
    <t>基礎控除の額</t>
    <phoneticPr fontId="3"/>
  </si>
  <si>
    <t>未成年者</t>
    <phoneticPr fontId="3"/>
  </si>
  <si>
    <t>死亡退職</t>
    <rPh sb="0" eb="1">
      <t>シ</t>
    </rPh>
    <rPh sb="1" eb="2">
      <t>ム</t>
    </rPh>
    <rPh sb="2" eb="3">
      <t>タイ</t>
    </rPh>
    <rPh sb="3" eb="4">
      <t>ショク</t>
    </rPh>
    <phoneticPr fontId="3"/>
  </si>
  <si>
    <t>給与所得控除後の金額
(調整控除後)</t>
    <rPh sb="12" eb="14">
      <t>チョウセイ</t>
    </rPh>
    <rPh sb="14" eb="16">
      <t>コウジョ</t>
    </rPh>
    <rPh sb="16" eb="17">
      <t>ゴ</t>
    </rPh>
    <phoneticPr fontId="3"/>
  </si>
  <si>
    <t>5人目以降の控除対象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3"/>
  </si>
  <si>
    <t>5人目以降の16歳未満
の扶養親族の個人番号</t>
    <phoneticPr fontId="3"/>
  </si>
  <si>
    <t>非居住者
である
親族の数</t>
    <rPh sb="0" eb="4">
      <t>ヒキョジュウシャ</t>
    </rPh>
    <rPh sb="9" eb="11">
      <t>シンゾク</t>
    </rPh>
    <rPh sb="12" eb="13">
      <t>カズ</t>
    </rPh>
    <phoneticPr fontId="3"/>
  </si>
  <si>
    <t>本人が障害者</t>
    <phoneticPr fontId="3"/>
  </si>
  <si>
    <t>(源泉)控除対象配偶者</t>
    <rPh sb="1" eb="3">
      <t>ゲンセン</t>
    </rPh>
    <phoneticPr fontId="3"/>
  </si>
  <si>
    <t>従有</t>
    <phoneticPr fontId="3"/>
  </si>
  <si>
    <t>下記注１に入力→</t>
    <rPh sb="0" eb="2">
      <t>カキ</t>
    </rPh>
    <rPh sb="5" eb="7">
      <t>ニュウリョク</t>
    </rPh>
    <phoneticPr fontId="3"/>
  </si>
  <si>
    <t>元　号</t>
    <rPh sb="0" eb="1">
      <t>モト</t>
    </rPh>
    <rPh sb="2" eb="3">
      <t>ゴウ</t>
    </rPh>
    <phoneticPr fontId="3"/>
  </si>
  <si>
    <t>01</t>
    <phoneticPr fontId="3"/>
  </si>
  <si>
    <t>16歳以上</t>
    <rPh sb="2" eb="3">
      <t>サイ</t>
    </rPh>
    <rPh sb="3" eb="5">
      <t>イジョウ</t>
    </rPh>
    <phoneticPr fontId="3"/>
  </si>
  <si>
    <t>16歳未満</t>
    <rPh sb="2" eb="3">
      <t>サイ</t>
    </rPh>
    <rPh sb="3" eb="5">
      <t>ミマン</t>
    </rPh>
    <phoneticPr fontId="3"/>
  </si>
  <si>
    <t>23歳未満の扶養親族</t>
    <phoneticPr fontId="3"/>
  </si>
  <si>
    <t>扶養親族が特別障害者</t>
    <rPh sb="5" eb="7">
      <t>トクベツ</t>
    </rPh>
    <rPh sb="7" eb="10">
      <t>ショウガイシャ</t>
    </rPh>
    <phoneticPr fontId="3"/>
  </si>
  <si>
    <t>注2　所得金額調整控除額申告書</t>
    <phoneticPr fontId="3"/>
  </si>
  <si>
    <t>上記、A控除対象配偶者、B控除対象扶養親族、○住民税に関する事項に記載のない場合に記載してください。</t>
    <rPh sb="0" eb="2">
      <t>ジョウキ</t>
    </rPh>
    <rPh sb="33" eb="35">
      <t>キサイ</t>
    </rPh>
    <rPh sb="38" eb="40">
      <t>バアイ</t>
    </rPh>
    <rPh sb="41" eb="43">
      <t>キサイ</t>
    </rPh>
    <phoneticPr fontId="3"/>
  </si>
  <si>
    <t>同一生計配偶者が特別障害者</t>
    <phoneticPr fontId="3"/>
  </si>
  <si>
    <r>
      <t xml:space="preserve">C </t>
    </r>
    <r>
      <rPr>
        <sz val="8"/>
        <rFont val="MS UI Gothic"/>
        <family val="3"/>
        <charset val="128"/>
      </rPr>
      <t>障害者、寡婦、ひとり親等</t>
    </r>
    <rPh sb="2" eb="5">
      <t>ショウガイシャ</t>
    </rPh>
    <rPh sb="6" eb="8">
      <t>カフ</t>
    </rPh>
    <rPh sb="12" eb="13">
      <t>オヤ</t>
    </rPh>
    <rPh sb="13" eb="14">
      <t>トウ</t>
    </rPh>
    <phoneticPr fontId="3"/>
  </si>
  <si>
    <t>中 途 就・退 職</t>
    <phoneticPr fontId="3"/>
  </si>
  <si>
    <t>所得金額調整控除申告書</t>
    <phoneticPr fontId="3"/>
  </si>
  <si>
    <t>配偶者控除等申告書     合計所得(見積)</t>
    <rPh sb="19" eb="21">
      <t>ミツモリ</t>
    </rPh>
    <phoneticPr fontId="3"/>
  </si>
  <si>
    <r>
      <rPr>
        <b/>
        <sz val="11"/>
        <rFont val="MS UI Gothic"/>
        <family val="3"/>
        <charset val="128"/>
      </rPr>
      <t>A</t>
    </r>
    <r>
      <rPr>
        <sz val="9"/>
        <rFont val="MS UI Gothic"/>
        <family val="3"/>
        <charset val="128"/>
      </rPr>
      <t xml:space="preserve">源泉控除対象配偶者
</t>
    </r>
    <r>
      <rPr>
        <sz val="9"/>
        <color rgb="FFFF0000"/>
        <rFont val="MS UI Gothic"/>
        <family val="3"/>
        <charset val="128"/>
      </rPr>
      <t>兼配偶者控除等申告書</t>
    </r>
    <rPh sb="1" eb="3">
      <t>ゲンセン</t>
    </rPh>
    <rPh sb="3" eb="5">
      <t>コウジョ</t>
    </rPh>
    <rPh sb="11" eb="12">
      <t>ケン</t>
    </rPh>
    <phoneticPr fontId="3"/>
  </si>
  <si>
    <t>※公的年金等に係る雑所得以外の所得に係る合計所得金額</t>
    <phoneticPr fontId="3"/>
  </si>
  <si>
    <t>基礎控除申告書　　合計所得(見積)</t>
    <phoneticPr fontId="3"/>
  </si>
  <si>
    <r>
      <t xml:space="preserve">※　　種　　　　別  </t>
    </r>
    <r>
      <rPr>
        <sz val="12"/>
        <color theme="0"/>
        <rFont val="MS UI Gothic"/>
        <family val="3"/>
        <charset val="128"/>
      </rPr>
      <t xml:space="preserve"> .</t>
    </r>
    <phoneticPr fontId="3"/>
  </si>
  <si>
    <r>
      <t xml:space="preserve">※　整　理　番　号 </t>
    </r>
    <r>
      <rPr>
        <sz val="12"/>
        <color theme="0"/>
        <rFont val="MS UI Gothic"/>
        <family val="3"/>
        <charset val="128"/>
      </rPr>
      <t xml:space="preserve">  .</t>
    </r>
    <phoneticPr fontId="3"/>
  </si>
  <si>
    <r>
      <rPr>
        <sz val="12"/>
        <rFont val="MS UI Gothic"/>
        <family val="3"/>
        <charset val="128"/>
      </rPr>
      <t>　の有無等　　　</t>
    </r>
    <r>
      <rPr>
        <sz val="12"/>
        <color theme="0"/>
        <rFont val="MS UI Gothic"/>
        <family val="3"/>
        <charset val="128"/>
      </rPr>
      <t>.</t>
    </r>
    <phoneticPr fontId="3"/>
  </si>
  <si>
    <t>IF($E$16="",0,IF(G32="無","",IF(G37="無","",LOOKUP($K$32,$AM$24:$AM$27,$AL$24:$AL$27))))</t>
    <phoneticPr fontId="3"/>
  </si>
  <si>
    <t>特定扶養親族</t>
    <phoneticPr fontId="3"/>
  </si>
  <si>
    <t>同居老親等以外老人</t>
    <phoneticPr fontId="3"/>
  </si>
  <si>
    <t>定額減税の計算</t>
    <rPh sb="0" eb="2">
      <t>テイガク</t>
    </rPh>
    <rPh sb="2" eb="4">
      <t>ゲンゼイ</t>
    </rPh>
    <rPh sb="5" eb="7">
      <t>ケイサン</t>
    </rPh>
    <phoneticPr fontId="3"/>
  </si>
  <si>
    <t>納税者本人</t>
    <phoneticPr fontId="3"/>
  </si>
  <si>
    <t>24-2</t>
    <phoneticPr fontId="3"/>
  </si>
  <si>
    <t>24-3</t>
  </si>
  <si>
    <t>24-4</t>
  </si>
  <si>
    <t>年調減税額</t>
    <rPh sb="0" eb="2">
      <t>ネンチョウ</t>
    </rPh>
    <rPh sb="2" eb="5">
      <t>ゲンゼイガク</t>
    </rPh>
    <phoneticPr fontId="3"/>
  </si>
  <si>
    <t>年調減税額控除後の年調所得税額</t>
    <rPh sb="0" eb="1">
      <t>トシ</t>
    </rPh>
    <rPh sb="1" eb="2">
      <t>チョウ</t>
    </rPh>
    <rPh sb="2" eb="4">
      <t>ゲンゼイ</t>
    </rPh>
    <rPh sb="4" eb="5">
      <t>ガク</t>
    </rPh>
    <rPh sb="5" eb="7">
      <t>コウジョ</t>
    </rPh>
    <rPh sb="7" eb="8">
      <t>ゴ</t>
    </rPh>
    <rPh sb="9" eb="11">
      <t>ネンチョウ</t>
    </rPh>
    <rPh sb="11" eb="14">
      <t>ショトクゼイ</t>
    </rPh>
    <rPh sb="14" eb="15">
      <t>ガク</t>
    </rPh>
    <phoneticPr fontId="3"/>
  </si>
  <si>
    <t>控除外額</t>
    <rPh sb="0" eb="2">
      <t>コウジョ</t>
    </rPh>
    <rPh sb="2" eb="3">
      <t>ガイ</t>
    </rPh>
    <rPh sb="3" eb="4">
      <t>ガク</t>
    </rPh>
    <phoneticPr fontId="3"/>
  </si>
  <si>
    <t>令和5年1月から、扶養控除の対象となる非居住者である扶養親族は、次に掲げる人とされました。</t>
  </si>
  <si>
    <t>イ 年齢16歳以上30歳未満の人</t>
  </si>
  <si>
    <t>ロ 年齢70歳以上の人</t>
  </si>
  <si>
    <t>ハ 年齢30歳以上70歳未満の人のうち、次のいずれかに該当する人</t>
  </si>
  <si>
    <t xml:space="preserve"> (イ) 留学により国内に住所及び居所を有しなくなった人</t>
  </si>
  <si>
    <t xml:space="preserve"> (ロ) 障害者</t>
  </si>
  <si>
    <t>01　30歳未満又は70歳以上</t>
  </si>
  <si>
    <t>02　30歳以上70未満、留学生</t>
  </si>
  <si>
    <t>03　30歳以上70未満、障害者</t>
  </si>
  <si>
    <t>04　30歳以上70未満、38万以上送金</t>
  </si>
  <si>
    <t>【扶養控除の対象となる非居住者である扶養親族の範囲】</t>
    <phoneticPr fontId="3"/>
  </si>
  <si>
    <t>同一生計配偶者(居住者)</t>
    <phoneticPr fontId="3"/>
  </si>
  <si>
    <t xml:space="preserve">控除対象扶養親族(居住者) </t>
    <phoneticPr fontId="3"/>
  </si>
  <si>
    <t xml:space="preserve">年少扶養親族(居住者) </t>
    <phoneticPr fontId="3"/>
  </si>
  <si>
    <t>定額減税額</t>
    <rPh sb="4" eb="5">
      <t>ガク</t>
    </rPh>
    <phoneticPr fontId="3"/>
  </si>
  <si>
    <t>所得者本人の合計所得金額が1,805万円を超える場合は、居住者である</t>
    <phoneticPr fontId="3"/>
  </si>
  <si>
    <t>同一生計配偶者及び扶養親族を有していたとしても年調減税の対象となりません。</t>
  </si>
  <si>
    <t>「住」 ： 一般の住宅借入金等特別控除（増改築含む）は「01」を設定</t>
  </si>
  <si>
    <t>「認」 ： 認定住宅（等）の新築（取得）等に係る住宅借入金等特別控除は「02」を設定</t>
  </si>
  <si>
    <t>「増」 ： 特定増改築等住宅借入金等特別控除は「03」を設定</t>
  </si>
  <si>
    <t>「震」 ： 東日本大震災の被災者の家屋の再取得の特別控除は「04」を設定</t>
  </si>
  <si>
    <t>「住（特）」 ： 一般の住宅借入金等特別控除の場合で特定取得に該当するときは「11」を設定</t>
  </si>
  <si>
    <t>「認（特）」 ： 認定住宅（等）の新築（取得）等に係る住宅借入金等特別控除の場合で特定取得</t>
  </si>
  <si>
    <t>に該当するときは「12」を設定</t>
  </si>
  <si>
    <t>「増（特）」 ： 特定増改築等住宅借入金等特別控除の場合で特定取得に該当するときは「13」</t>
  </si>
  <si>
    <t>を設定</t>
  </si>
  <si>
    <t>「住（特特）」 ： 一般の住宅借入金等特別控除（増改築含む）の場合で特別特定取得に該当する</t>
  </si>
  <si>
    <t>ときは「21」を設定</t>
  </si>
  <si>
    <t>「認（特特）」 ： 認定住宅（等）の新築（取得）等に係る住宅借入金等特別控除の場合で特別特</t>
  </si>
  <si>
    <t>定取得に該当するときは「22」を設定</t>
  </si>
  <si>
    <t>「震（特特）」 ： 東日本大震災の被災者の家屋の再取得の特別控除の場合で特別特定取得に該当</t>
  </si>
  <si>
    <t>するときは「24」を設定</t>
  </si>
  <si>
    <t>「住（特特特）」 ：一般の住宅借入金等特別控除（増改築含む）の場合で特例特別特例取得に該</t>
  </si>
  <si>
    <t>当するときは「31」を設定</t>
  </si>
  <si>
    <t>「認（特特特）」 ： 認定住宅（等）の新築（取得）等に係る住宅借入金等特別控除の場合で特例</t>
  </si>
  <si>
    <t>特別特例取得に該当するときは「32」を設定</t>
  </si>
  <si>
    <t>「震（特特特）」 ： 東日本大震災の被災者の家屋の再取得の特別控除の場合で特例特別特例取得</t>
  </si>
  <si>
    <t>に該当するときは「34」を設定</t>
  </si>
  <si>
    <t>「住（持家）」 ：一般の住宅借入金等特別控除（増改築含む）の場合で特例居住用家屋に該当す</t>
  </si>
  <si>
    <t>るときは「41」を設定</t>
  </si>
  <si>
    <t>「認（持家）」 ： 認定住宅の新築等に係る住宅借入金等特別控除の場合で特例居住用家屋に該当</t>
  </si>
  <si>
    <t>するときは「42」を設定</t>
  </si>
  <si>
    <t>「震（持家）」 ：震災再取得等の適用を選択した場合で住宅が特例居住用家屋に該当するときは</t>
  </si>
  <si>
    <t>「44」を設定</t>
  </si>
  <si>
    <t>特　親</t>
    <phoneticPr fontId="3"/>
  </si>
  <si>
    <t>特定親族特別控除の額</t>
    <phoneticPr fontId="3"/>
  </si>
  <si>
    <t>⑧</t>
    <phoneticPr fontId="3"/>
  </si>
  <si>
    <t>すべて"07nen"sheetから転記されます。シートを保護してますので訂正はできません。(解除パスワードは"1111"です。)</t>
    <rPh sb="17" eb="19">
      <t>テンキ</t>
    </rPh>
    <rPh sb="28" eb="30">
      <t>ホゴ</t>
    </rPh>
    <rPh sb="36" eb="38">
      <t>テイセイ</t>
    </rPh>
    <rPh sb="46" eb="48">
      <t>カイジョ</t>
    </rPh>
    <phoneticPr fontId="3"/>
  </si>
  <si>
    <t>税務署配布の「令和7年分 年末調整のしかた」をよく読んでお使いください。</t>
    <rPh sb="0" eb="3">
      <t>ゼイムショ</t>
    </rPh>
    <rPh sb="3" eb="5">
      <t>ハイフ</t>
    </rPh>
    <rPh sb="10" eb="12">
      <t>ネンブン</t>
    </rPh>
    <rPh sb="13" eb="14">
      <t>ネン</t>
    </rPh>
    <rPh sb="25" eb="26">
      <t>ヨ</t>
    </rPh>
    <rPh sb="29" eb="30">
      <t>ツカ</t>
    </rPh>
    <phoneticPr fontId="3"/>
  </si>
  <si>
    <t>令和7年分　給与所得者の扶養控除等(異動)申告書データ</t>
    <rPh sb="3" eb="4">
      <t>ネン</t>
    </rPh>
    <rPh sb="4" eb="5">
      <t>ブン</t>
    </rPh>
    <rPh sb="6" eb="8">
      <t>キュウヨ</t>
    </rPh>
    <rPh sb="8" eb="10">
      <t>ショトク</t>
    </rPh>
    <rPh sb="10" eb="11">
      <t>シャ</t>
    </rPh>
    <rPh sb="12" eb="14">
      <t>フヨウ</t>
    </rPh>
    <rPh sb="14" eb="16">
      <t>コウジョ</t>
    </rPh>
    <rPh sb="16" eb="17">
      <t>トウ</t>
    </rPh>
    <rPh sb="18" eb="20">
      <t>イドウ</t>
    </rPh>
    <rPh sb="21" eb="23">
      <t>シンコク</t>
    </rPh>
    <rPh sb="23" eb="24">
      <t>ショ</t>
    </rPh>
    <phoneticPr fontId="3"/>
  </si>
  <si>
    <t>令和7年分　給与所得に対する所得税源泉徴収簿データ</t>
    <phoneticPr fontId="3"/>
  </si>
  <si>
    <t>令和7年分 控除額の合計額の早見表</t>
    <rPh sb="6" eb="8">
      <t>コウジョ</t>
    </rPh>
    <rPh sb="8" eb="9">
      <t>ガク</t>
    </rPh>
    <rPh sb="10" eb="12">
      <t>ゴウケイ</t>
    </rPh>
    <rPh sb="12" eb="13">
      <t>ガク</t>
    </rPh>
    <rPh sb="14" eb="16">
      <t>ハヤミ</t>
    </rPh>
    <rPh sb="16" eb="17">
      <t>ヒョウ</t>
    </rPh>
    <phoneticPr fontId="3"/>
  </si>
  <si>
    <t>令和7年分　保険料控除申告書データ</t>
    <rPh sb="6" eb="8">
      <t>ホケン</t>
    </rPh>
    <rPh sb="8" eb="9">
      <t>リョウ</t>
    </rPh>
    <rPh sb="9" eb="11">
      <t>コウジョ</t>
    </rPh>
    <rPh sb="11" eb="13">
      <t>シンコク</t>
    </rPh>
    <rPh sb="13" eb="14">
      <t>ショ</t>
    </rPh>
    <phoneticPr fontId="3"/>
  </si>
  <si>
    <t>A</t>
  </si>
  <si>
    <t>B</t>
  </si>
  <si>
    <t>C</t>
  </si>
  <si>
    <t>特別控除</t>
    <rPh sb="0" eb="2">
      <t>トクベツ</t>
    </rPh>
    <phoneticPr fontId="3"/>
  </si>
  <si>
    <t>合計所得</t>
    <phoneticPr fontId="3"/>
  </si>
  <si>
    <t>特別控除</t>
    <phoneticPr fontId="3"/>
  </si>
  <si>
    <t>特定親族</t>
    <phoneticPr fontId="3"/>
  </si>
  <si>
    <t>19歳以上</t>
    <rPh sb="2" eb="3">
      <t>サイ</t>
    </rPh>
    <rPh sb="3" eb="5">
      <t>イジョウ</t>
    </rPh>
    <phoneticPr fontId="3"/>
  </si>
  <si>
    <t>下記注2に
記載　　</t>
    <rPh sb="6" eb="8">
      <t>キサイ</t>
    </rPh>
    <phoneticPr fontId="3"/>
  </si>
  <si>
    <t>令和7年分　基礎控除申告書 兼 配偶者控除等申告書 兼 給与所得者の特定親族特別控除申告書 兼 所得金額調整控除申告書データ</t>
    <rPh sb="3" eb="5">
      <t>ネンブン</t>
    </rPh>
    <rPh sb="6" eb="8">
      <t>キソ</t>
    </rPh>
    <rPh sb="8" eb="10">
      <t>コウジョ</t>
    </rPh>
    <rPh sb="10" eb="13">
      <t>シンコクショ</t>
    </rPh>
    <rPh sb="14" eb="15">
      <t>ケン</t>
    </rPh>
    <rPh sb="16" eb="19">
      <t>ハイグウシャ</t>
    </rPh>
    <rPh sb="19" eb="22">
      <t>コウジョナド</t>
    </rPh>
    <rPh sb="22" eb="25">
      <t>シンコクショ</t>
    </rPh>
    <rPh sb="26" eb="27">
      <t>ケン</t>
    </rPh>
    <rPh sb="46" eb="47">
      <t>ケン</t>
    </rPh>
    <rPh sb="48" eb="50">
      <t>ショトク</t>
    </rPh>
    <rPh sb="50" eb="52">
      <t>キンガク</t>
    </rPh>
    <rPh sb="52" eb="54">
      <t>チョウセイ</t>
    </rPh>
    <rPh sb="54" eb="56">
      <t>コウジョ</t>
    </rPh>
    <rPh sb="56" eb="58">
      <t>シンコク</t>
    </rPh>
    <rPh sb="58" eb="59">
      <t>ショ</t>
    </rPh>
    <phoneticPr fontId="3"/>
  </si>
  <si>
    <t>氏名</t>
    <rPh sb="0" eb="2">
      <t>シメイ</t>
    </rPh>
    <phoneticPr fontId="3"/>
  </si>
  <si>
    <t>特定親族特別控除</t>
  </si>
  <si>
    <t>特定親族特別控除</t>
    <rPh sb="0" eb="2">
      <t>トクテイ</t>
    </rPh>
    <rPh sb="2" eb="4">
      <t>シンゾク</t>
    </rPh>
    <rPh sb="4" eb="6">
      <t>トクベツ</t>
    </rPh>
    <phoneticPr fontId="3"/>
  </si>
  <si>
    <t>注2　扶養者の本年中の合計所得金額の見積額の計算</t>
    <rPh sb="0" eb="1">
      <t>チュウ</t>
    </rPh>
    <rPh sb="3" eb="6">
      <t>フヨウシャ</t>
    </rPh>
    <phoneticPr fontId="3"/>
  </si>
  <si>
    <t>配偶者</t>
    <phoneticPr fontId="3"/>
  </si>
  <si>
    <r>
      <rPr>
        <sz val="9"/>
        <color rgb="FFFF0000"/>
        <rFont val="MS UI Gothic"/>
        <family val="3"/>
        <charset val="128"/>
      </rPr>
      <t>配偶者</t>
    </r>
    <r>
      <rPr>
        <sz val="9"/>
        <rFont val="MS UI Gothic"/>
        <family val="3"/>
        <charset val="128"/>
      </rPr>
      <t>の合計所得(見積)</t>
    </r>
    <rPh sb="9" eb="11">
      <t>ミツモリ</t>
    </rPh>
    <phoneticPr fontId="3"/>
  </si>
  <si>
    <r>
      <rPr>
        <sz val="9"/>
        <color rgb="FFFF0000"/>
        <rFont val="MS UI Gothic"/>
        <family val="3"/>
        <charset val="128"/>
      </rPr>
      <t>扶養者①</t>
    </r>
    <r>
      <rPr>
        <sz val="9"/>
        <rFont val="MS UI Gothic"/>
        <family val="3"/>
        <charset val="128"/>
      </rPr>
      <t>の合計所得(見積)</t>
    </r>
    <rPh sb="0" eb="3">
      <t>フヨウシャ</t>
    </rPh>
    <rPh sb="10" eb="12">
      <t>ミツモリ</t>
    </rPh>
    <phoneticPr fontId="3"/>
  </si>
  <si>
    <t>扶養者①</t>
    <rPh sb="0" eb="3">
      <t>フヨウシャ</t>
    </rPh>
    <phoneticPr fontId="3"/>
  </si>
  <si>
    <t>扶養者②</t>
    <rPh sb="0" eb="3">
      <t>フヨウシャ</t>
    </rPh>
    <phoneticPr fontId="3"/>
  </si>
  <si>
    <r>
      <rPr>
        <sz val="9"/>
        <color rgb="FFFF0000"/>
        <rFont val="MS UI Gothic"/>
        <family val="3"/>
        <charset val="128"/>
      </rPr>
      <t>扶養者②</t>
    </r>
    <r>
      <rPr>
        <sz val="9"/>
        <rFont val="MS UI Gothic"/>
        <family val="3"/>
        <charset val="128"/>
      </rPr>
      <t>の合計所得(見積)</t>
    </r>
    <rPh sb="0" eb="3">
      <t>フヨウシャ</t>
    </rPh>
    <rPh sb="10" eb="12">
      <t>ミツモリ</t>
    </rPh>
    <phoneticPr fontId="3"/>
  </si>
  <si>
    <t>扶養者③</t>
    <rPh sb="0" eb="3">
      <t>フヨウシャ</t>
    </rPh>
    <phoneticPr fontId="3"/>
  </si>
  <si>
    <r>
      <rPr>
        <sz val="9"/>
        <color rgb="FFFF0000"/>
        <rFont val="MS UI Gothic"/>
        <family val="3"/>
        <charset val="128"/>
      </rPr>
      <t>扶養者③</t>
    </r>
    <r>
      <rPr>
        <sz val="9"/>
        <rFont val="MS UI Gothic"/>
        <family val="3"/>
        <charset val="128"/>
      </rPr>
      <t>の合計所得(見積)</t>
    </r>
    <rPh sb="0" eb="3">
      <t>フヨウシャ</t>
    </rPh>
    <rPh sb="10" eb="12">
      <t>ミツモリ</t>
    </rPh>
    <phoneticPr fontId="3"/>
  </si>
  <si>
    <t>扶養者④</t>
    <rPh sb="0" eb="3">
      <t>フヨウシャ</t>
    </rPh>
    <phoneticPr fontId="3"/>
  </si>
  <si>
    <r>
      <rPr>
        <sz val="9"/>
        <color rgb="FFFF0000"/>
        <rFont val="MS UI Gothic"/>
        <family val="3"/>
        <charset val="128"/>
      </rPr>
      <t>扶養者④</t>
    </r>
    <r>
      <rPr>
        <sz val="9"/>
        <rFont val="MS UI Gothic"/>
        <family val="3"/>
        <charset val="128"/>
      </rPr>
      <t>の合計所得(見積)</t>
    </r>
    <rPh sb="0" eb="3">
      <t>フヨウシャ</t>
    </rPh>
    <rPh sb="10" eb="12">
      <t>ミツモリ</t>
    </rPh>
    <phoneticPr fontId="3"/>
  </si>
  <si>
    <t xml:space="preserve"> (ハ) 扶養控除の適用を受けようとする所得者からその年において生活費又は教育費に充てるための支払を38万円以上受けている人</t>
    <phoneticPr fontId="3"/>
  </si>
  <si>
    <t>特親</t>
    <rPh sb="0" eb="1">
      <t>トク</t>
    </rPh>
    <rPh sb="1" eb="2">
      <t>オヤ</t>
    </rPh>
    <phoneticPr fontId="3"/>
  </si>
  <si>
    <t>居住者</t>
    <rPh sb="0" eb="3">
      <t>キョジュウシャ</t>
    </rPh>
    <phoneticPr fontId="3"/>
  </si>
  <si>
    <t>非居住者</t>
  </si>
  <si>
    <t>非居住者</t>
    <rPh sb="0" eb="4">
      <t>ヒキョジュウシャ</t>
    </rPh>
    <phoneticPr fontId="3"/>
  </si>
  <si>
    <t>扶養者⑤</t>
    <rPh sb="0" eb="3">
      <t>フヨウシャ</t>
    </rPh>
    <phoneticPr fontId="3"/>
  </si>
  <si>
    <t>扶養者⑥</t>
    <rPh sb="0" eb="3">
      <t>フヨウシャ</t>
    </rPh>
    <phoneticPr fontId="3"/>
  </si>
  <si>
    <t>扶養者⑦</t>
    <rPh sb="0" eb="3">
      <t>フヨウシャ</t>
    </rPh>
    <phoneticPr fontId="3"/>
  </si>
  <si>
    <t>特定親族判定</t>
    <rPh sb="4" eb="6">
      <t>ハンテイ</t>
    </rPh>
    <phoneticPr fontId="3"/>
  </si>
  <si>
    <t>非居住者ドロップダウンリストの選択番号</t>
    <phoneticPr fontId="3"/>
  </si>
  <si>
    <r>
      <t>特定親族特別控除</t>
    </r>
    <r>
      <rPr>
        <sz val="9"/>
        <color theme="1"/>
        <rFont val="MS UI Gothic"/>
        <family val="3"/>
        <charset val="128"/>
      </rPr>
      <t>【R列に2桁の数字のある人をドロップダウンリストで選択】</t>
    </r>
    <phoneticPr fontId="3"/>
  </si>
  <si>
    <t>～～～～～～～～～～～～～～～～～～～～～～～～～～～～～～～～～～～～～～～～～～～～～～～～～～～～～～～～～～～～～～～～～～～～～～～～～～～～～～～～～～～～～～～～～～～～～～～～～～～～～～～～～～～～～～～</t>
    <phoneticPr fontId="3"/>
  </si>
  <si>
    <t>特定親族</t>
    <rPh sb="0" eb="2">
      <t>トクテイ</t>
    </rPh>
    <rPh sb="2" eb="4">
      <t>シンゾク</t>
    </rPh>
    <phoneticPr fontId="3"/>
  </si>
  <si>
    <t>控除</t>
    <rPh sb="0" eb="2">
      <t>コウジョ</t>
    </rPh>
    <phoneticPr fontId="3"/>
  </si>
  <si>
    <t>※1</t>
    <phoneticPr fontId="3"/>
  </si>
  <si>
    <t>令和6年まで</t>
    <rPh sb="0" eb="2">
      <t>レイワ</t>
    </rPh>
    <rPh sb="3" eb="4">
      <t>ネン</t>
    </rPh>
    <phoneticPr fontId="3"/>
  </si>
  <si>
    <r>
      <rPr>
        <sz val="9"/>
        <color rgb="FFFF0000"/>
        <rFont val="MS UI Gothic"/>
        <family val="3"/>
        <charset val="128"/>
      </rPr>
      <t>扶養者⑤</t>
    </r>
    <r>
      <rPr>
        <sz val="9"/>
        <rFont val="MS UI Gothic"/>
        <family val="3"/>
        <charset val="128"/>
      </rPr>
      <t>の合計所得(見積)</t>
    </r>
    <rPh sb="0" eb="3">
      <t>フヨウシャ</t>
    </rPh>
    <rPh sb="10" eb="12">
      <t>ミツモリ</t>
    </rPh>
    <phoneticPr fontId="3"/>
  </si>
  <si>
    <r>
      <rPr>
        <sz val="9"/>
        <color rgb="FFFF0000"/>
        <rFont val="MS UI Gothic"/>
        <family val="3"/>
        <charset val="128"/>
      </rPr>
      <t>扶養者⑥</t>
    </r>
    <r>
      <rPr>
        <sz val="9"/>
        <rFont val="MS UI Gothic"/>
        <family val="3"/>
        <charset val="128"/>
      </rPr>
      <t>の合計所得(見積)</t>
    </r>
    <rPh sb="0" eb="3">
      <t>フヨウシャ</t>
    </rPh>
    <rPh sb="10" eb="12">
      <t>ミツモリ</t>
    </rPh>
    <phoneticPr fontId="3"/>
  </si>
  <si>
    <r>
      <rPr>
        <sz val="9"/>
        <color rgb="FFFF0000"/>
        <rFont val="MS UI Gothic"/>
        <family val="3"/>
        <charset val="128"/>
      </rPr>
      <t>扶養者⑦</t>
    </r>
    <r>
      <rPr>
        <sz val="9"/>
        <rFont val="MS UI Gothic"/>
        <family val="3"/>
        <charset val="128"/>
      </rPr>
      <t>の合計所得(見積)</t>
    </r>
    <rPh sb="0" eb="3">
      <t>フヨウシャ</t>
    </rPh>
    <rPh sb="10" eb="12">
      <t>ミツモリ</t>
    </rPh>
    <phoneticPr fontId="3"/>
  </si>
  <si>
    <t>v2.52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</si>
</sst>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000;[Red]\-#,##0.000"/>
    <numFmt numFmtId="177" formatCode="#,##0;&quot;△&quot;#,##0"/>
    <numFmt numFmtId="178" formatCode="[$-411]e"/>
    <numFmt numFmtId="179" formatCode="m"/>
    <numFmt numFmtId="180" formatCode="d"/>
    <numFmt numFmtId="181" formatCode="m/d"/>
    <numFmt numFmtId="182" formatCode="0&quot;人&quot;"/>
    <numFmt numFmtId="183" formatCode="00000000"/>
    <numFmt numFmtId="184" formatCode="00000"/>
    <numFmt numFmtId="185" formatCode="[$-411]d"/>
    <numFmt numFmtId="186" formatCode="[$-411]m"/>
    <numFmt numFmtId="187" formatCode="[$-411]ge"/>
    <numFmt numFmtId="188" formatCode="000000000000"/>
    <numFmt numFmtId="189" formatCode="0\ \ 0000\ \ 0000\ \ 0000"/>
    <numFmt numFmtId="190" formatCode="[$]ggg;@" x16r2:formatCode16="[$-ja-JP-x-gannen]ggg;@"/>
    <numFmt numFmtId="191" formatCode="00"/>
    <numFmt numFmtId="192" formatCode="\([$-411]ge\.m\.d&quot;以後生&quot;\)"/>
    <numFmt numFmtId="193" formatCode="\([$-411]ge\.m\.d&quot;以前生&quot;\)"/>
    <numFmt numFmtId="194" formatCode="&quot;扶養親族が年齢23歳未満&quot;\([$-411]ge\.m\.d&quot;以後生&quot;\)"/>
  </numFmts>
  <fonts count="68">
    <font>
      <sz val="10"/>
      <name val="ＭＳ Ｐ明朝"/>
      <family val="1"/>
      <charset val="128"/>
    </font>
    <font>
      <sz val="10"/>
      <color indexed="8"/>
      <name val="MS UI Gothic"/>
      <family val="3"/>
      <charset val="128"/>
    </font>
    <font>
      <sz val="10"/>
      <name val="ＭＳ Ｐ明朝"/>
      <family val="1"/>
      <charset val="128"/>
    </font>
    <font>
      <sz val="6"/>
      <name val="ＭＳ Ｐ明朝"/>
      <family val="1"/>
      <charset val="128"/>
    </font>
    <font>
      <sz val="10"/>
      <name val="MS UI Gothic"/>
      <family val="3"/>
      <charset val="128"/>
    </font>
    <font>
      <sz val="6"/>
      <name val="ＭＳ Ｐゴシック"/>
      <family val="3"/>
      <charset val="128"/>
    </font>
    <font>
      <sz val="14"/>
      <name val="MS UI Gothic"/>
      <family val="3"/>
      <charset val="128"/>
    </font>
    <font>
      <sz val="11"/>
      <name val="MS UI Gothic"/>
      <family val="3"/>
      <charset val="128"/>
    </font>
    <font>
      <sz val="9"/>
      <name val="MS UI Gothic"/>
      <family val="3"/>
      <charset val="128"/>
    </font>
    <font>
      <sz val="9"/>
      <color indexed="10"/>
      <name val="MS UI Gothic"/>
      <family val="3"/>
      <charset val="128"/>
    </font>
    <font>
      <b/>
      <sz val="12"/>
      <name val="MS UI Gothic"/>
      <family val="3"/>
      <charset val="128"/>
    </font>
    <font>
      <sz val="9"/>
      <color indexed="12"/>
      <name val="MS UI Gothic"/>
      <family val="3"/>
      <charset val="128"/>
    </font>
    <font>
      <i/>
      <sz val="9"/>
      <name val="MS UI Gothic"/>
      <family val="3"/>
      <charset val="128"/>
    </font>
    <font>
      <sz val="9"/>
      <name val="ＭＳ Ｐゴシック"/>
      <family val="3"/>
      <charset val="128"/>
    </font>
    <font>
      <sz val="20"/>
      <color indexed="10"/>
      <name val="MS UI Gothic"/>
      <family val="3"/>
      <charset val="128"/>
    </font>
    <font>
      <sz val="16"/>
      <color indexed="8"/>
      <name val="MS UI Gothic"/>
      <family val="3"/>
      <charset val="128"/>
    </font>
    <font>
      <sz val="16"/>
      <name val="MS UI Gothic"/>
      <family val="3"/>
      <charset val="128"/>
    </font>
    <font>
      <sz val="11"/>
      <color indexed="53"/>
      <name val="MS UI Gothic"/>
      <family val="3"/>
      <charset val="128"/>
    </font>
    <font>
      <sz val="12"/>
      <color indexed="8"/>
      <name val="MS UI Gothic"/>
      <family val="3"/>
      <charset val="128"/>
    </font>
    <font>
      <sz val="28"/>
      <name val="MS UI Gothic"/>
      <family val="3"/>
      <charset val="128"/>
    </font>
    <font>
      <sz val="18"/>
      <color indexed="8"/>
      <name val="MS UI Gothic"/>
      <family val="3"/>
      <charset val="128"/>
    </font>
    <font>
      <sz val="12"/>
      <color indexed="53"/>
      <name val="MS UI Gothic"/>
      <family val="3"/>
      <charset val="128"/>
    </font>
    <font>
      <sz val="20"/>
      <name val="MS UI Gothic"/>
      <family val="3"/>
      <charset val="128"/>
    </font>
    <font>
      <sz val="12"/>
      <name val="MS UI Gothic"/>
      <family val="3"/>
      <charset val="128"/>
    </font>
    <font>
      <sz val="18"/>
      <name val="MS UI Gothic"/>
      <family val="3"/>
      <charset val="128"/>
    </font>
    <font>
      <sz val="20"/>
      <color indexed="8"/>
      <name val="MS UI Gothic"/>
      <family val="3"/>
      <charset val="128"/>
    </font>
    <font>
      <sz val="36"/>
      <color indexed="8"/>
      <name val="MS UI Gothic"/>
      <family val="3"/>
      <charset val="128"/>
    </font>
    <font>
      <sz val="26"/>
      <color indexed="8"/>
      <name val="MS UI Gothic"/>
      <family val="3"/>
      <charset val="128"/>
    </font>
    <font>
      <sz val="14"/>
      <color indexed="53"/>
      <name val="MS UI Gothic"/>
      <family val="3"/>
      <charset val="128"/>
    </font>
    <font>
      <sz val="14"/>
      <color indexed="8"/>
      <name val="MS UI Gothic"/>
      <family val="3"/>
      <charset val="128"/>
    </font>
    <font>
      <b/>
      <sz val="9"/>
      <color indexed="12"/>
      <name val="MS UI Gothic"/>
      <family val="3"/>
      <charset val="128"/>
    </font>
    <font>
      <b/>
      <sz val="9"/>
      <color indexed="8"/>
      <name val="MS UI Gothic"/>
      <family val="3"/>
      <charset val="128"/>
    </font>
    <font>
      <sz val="8"/>
      <name val="MS UI Gothic"/>
      <family val="3"/>
      <charset val="128"/>
    </font>
    <font>
      <b/>
      <sz val="9"/>
      <name val="MS UI Gothic"/>
      <family val="3"/>
      <charset val="128"/>
    </font>
    <font>
      <b/>
      <sz val="10"/>
      <color indexed="53"/>
      <name val="MS UI Gothic"/>
      <family val="3"/>
      <charset val="128"/>
    </font>
    <font>
      <b/>
      <sz val="24"/>
      <color indexed="8"/>
      <name val="MS UI Gothic"/>
      <family val="3"/>
      <charset val="128"/>
    </font>
    <font>
      <sz val="11"/>
      <color theme="1"/>
      <name val="ＭＳ Ｐゴシック"/>
      <family val="3"/>
      <charset val="128"/>
      <scheme val="minor"/>
    </font>
    <font>
      <sz val="20"/>
      <color rgb="FFFF6600"/>
      <name val="MS UI Gothic"/>
      <family val="3"/>
      <charset val="128"/>
    </font>
    <font>
      <sz val="6"/>
      <name val="MS UI Gothic"/>
      <family val="3"/>
      <charset val="128"/>
    </font>
    <font>
      <b/>
      <sz val="28"/>
      <name val="MS UI Gothic"/>
      <family val="3"/>
      <charset val="128"/>
    </font>
    <font>
      <sz val="17"/>
      <name val="MS UI Gothic"/>
      <family val="3"/>
      <charset val="128"/>
    </font>
    <font>
      <b/>
      <sz val="10"/>
      <name val="MS UI Gothic"/>
      <family val="3"/>
      <charset val="128"/>
    </font>
    <font>
      <sz val="7"/>
      <name val="MS UI Gothic"/>
      <family val="3"/>
      <charset val="128"/>
    </font>
    <font>
      <b/>
      <sz val="16"/>
      <name val="MS UI Gothic"/>
      <family val="3"/>
      <charset val="128"/>
    </font>
    <font>
      <b/>
      <sz val="20"/>
      <color indexed="8"/>
      <name val="MS UI Gothic"/>
      <family val="3"/>
      <charset val="128"/>
    </font>
    <font>
      <sz val="9"/>
      <color rgb="FFFF0000"/>
      <name val="MS UI Gothic"/>
      <family val="3"/>
      <charset val="128"/>
    </font>
    <font>
      <b/>
      <sz val="11"/>
      <name val="MS UI Gothic"/>
      <family val="3"/>
      <charset val="128"/>
    </font>
    <font>
      <b/>
      <sz val="9"/>
      <color rgb="FFFF0000"/>
      <name val="MS UI Gothic"/>
      <family val="3"/>
      <charset val="128"/>
    </font>
    <font>
      <sz val="8"/>
      <color indexed="8"/>
      <name val="MS UI Gothic"/>
      <family val="3"/>
      <charset val="128"/>
    </font>
    <font>
      <b/>
      <sz val="8"/>
      <color indexed="53"/>
      <name val="MS UI Gothic"/>
      <family val="3"/>
      <charset val="128"/>
    </font>
    <font>
      <b/>
      <sz val="8"/>
      <name val="MS UI Gothic"/>
      <family val="3"/>
      <charset val="128"/>
    </font>
    <font>
      <sz val="10"/>
      <color rgb="FFFF6600"/>
      <name val="MS UI Gothic"/>
      <family val="3"/>
      <charset val="128"/>
    </font>
    <font>
      <sz val="24"/>
      <color indexed="8"/>
      <name val="MS UI Gothic"/>
      <family val="3"/>
      <charset val="128"/>
    </font>
    <font>
      <sz val="26"/>
      <name val="MS UI Gothic"/>
      <family val="3"/>
      <charset val="128"/>
    </font>
    <font>
      <sz val="8"/>
      <color rgb="FFFF6600"/>
      <name val="MS UI Gothic"/>
      <family val="3"/>
      <charset val="128"/>
    </font>
    <font>
      <sz val="8"/>
      <color indexed="53"/>
      <name val="MS UI Gothic"/>
      <family val="3"/>
      <charset val="128"/>
    </font>
    <font>
      <sz val="22"/>
      <color indexed="8"/>
      <name val="MS UI Gothic"/>
      <family val="3"/>
      <charset val="128"/>
    </font>
    <font>
      <sz val="6"/>
      <color indexed="8"/>
      <name val="MS UI Gothic"/>
      <family val="3"/>
      <charset val="128"/>
    </font>
    <font>
      <b/>
      <sz val="6"/>
      <color indexed="53"/>
      <name val="MS UI Gothic"/>
      <family val="3"/>
      <charset val="128"/>
    </font>
    <font>
      <b/>
      <sz val="6"/>
      <name val="MS UI Gothic"/>
      <family val="3"/>
      <charset val="128"/>
    </font>
    <font>
      <strike/>
      <sz val="9"/>
      <color rgb="FFFF0000"/>
      <name val="MS UI Gothic"/>
      <family val="3"/>
      <charset val="128"/>
    </font>
    <font>
      <b/>
      <sz val="32"/>
      <name val="MS UI Gothic"/>
      <family val="3"/>
      <charset val="128"/>
    </font>
    <font>
      <sz val="12"/>
      <color theme="0"/>
      <name val="MS UI Gothic"/>
      <family val="3"/>
      <charset val="128"/>
    </font>
    <font>
      <sz val="9"/>
      <color indexed="81"/>
      <name val="MS UI Gothic"/>
      <family val="3"/>
      <charset val="128"/>
    </font>
    <font>
      <sz val="16"/>
      <color indexed="10"/>
      <name val="MS UI Gothic"/>
      <family val="3"/>
      <charset val="128"/>
    </font>
    <font>
      <sz val="8"/>
      <color rgb="FFFF0000"/>
      <name val="MS UI Gothic"/>
      <family val="3"/>
      <charset val="128"/>
    </font>
    <font>
      <sz val="9"/>
      <color indexed="81"/>
      <name val="MS P ゴシック"/>
      <family val="3"/>
      <charset val="128"/>
    </font>
    <font>
      <sz val="9"/>
      <color theme="1"/>
      <name val="MS UI Gothic"/>
      <family val="3"/>
      <charset val="128"/>
    </font>
  </fonts>
  <fills count="23">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45"/>
        <bgColor indexed="29"/>
      </patternFill>
    </fill>
    <fill>
      <patternFill patternType="solid">
        <fgColor indexed="13"/>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rgb="FFFFFF00"/>
        <bgColor indexed="64"/>
      </patternFill>
    </fill>
    <fill>
      <patternFill patternType="solid">
        <fgColor theme="7"/>
        <bgColor indexed="64"/>
      </patternFill>
    </fill>
    <fill>
      <patternFill patternType="solid">
        <fgColor theme="8" tint="-0.249977111117893"/>
        <bgColor indexed="64"/>
      </patternFill>
    </fill>
    <fill>
      <patternFill patternType="solid">
        <fgColor theme="6"/>
        <bgColor indexed="64"/>
      </patternFill>
    </fill>
    <fill>
      <patternFill patternType="solid">
        <fgColor theme="6" tint="-0.499984740745262"/>
        <bgColor indexed="64"/>
      </patternFill>
    </fill>
    <fill>
      <patternFill patternType="solid">
        <fgColor theme="7"/>
        <bgColor indexed="29"/>
      </patternFill>
    </fill>
    <fill>
      <patternFill patternType="solid">
        <fgColor theme="0"/>
        <bgColor indexed="64"/>
      </patternFill>
    </fill>
    <fill>
      <patternFill patternType="solid">
        <fgColor theme="9"/>
        <bgColor indexed="64"/>
      </patternFill>
    </fill>
    <fill>
      <patternFill patternType="solid">
        <fgColor theme="4"/>
        <bgColor indexed="29"/>
      </patternFill>
    </fill>
    <fill>
      <patternFill patternType="solid">
        <fgColor theme="7" tint="-0.249977111117893"/>
        <bgColor indexed="64"/>
      </patternFill>
    </fill>
    <fill>
      <patternFill patternType="solid">
        <fgColor theme="3" tint="0.79998168889431442"/>
        <bgColor indexed="64"/>
      </patternFill>
    </fill>
  </fills>
  <borders count="2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53"/>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bottom style="thin">
        <color indexed="53"/>
      </bottom>
      <diagonal/>
    </border>
    <border>
      <left style="thin">
        <color indexed="53"/>
      </left>
      <right/>
      <top/>
      <bottom style="thin">
        <color indexed="53"/>
      </bottom>
      <diagonal/>
    </border>
    <border>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dashed">
        <color auto="1"/>
      </left>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right/>
      <top style="thin">
        <color indexed="64"/>
      </top>
      <bottom/>
      <diagonal/>
    </border>
    <border>
      <left/>
      <right style="thin">
        <color indexed="64"/>
      </right>
      <top style="thin">
        <color indexed="64"/>
      </top>
      <bottom/>
      <diagonal/>
    </border>
    <border>
      <left/>
      <right/>
      <top style="thin">
        <color auto="1"/>
      </top>
      <bottom/>
      <diagonal/>
    </border>
    <border diagonalUp="1">
      <left/>
      <right/>
      <top/>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6600"/>
      </left>
      <right/>
      <top style="thin">
        <color auto="1"/>
      </top>
      <bottom style="thin">
        <color auto="1"/>
      </bottom>
      <diagonal/>
    </border>
    <border>
      <left/>
      <right style="thin">
        <color rgb="FFFF6600"/>
      </right>
      <top style="thin">
        <color auto="1"/>
      </top>
      <bottom style="thin">
        <color auto="1"/>
      </bottom>
      <diagonal/>
    </border>
    <border>
      <left style="thin">
        <color rgb="FFFF6600"/>
      </left>
      <right style="thin">
        <color auto="1"/>
      </right>
      <top style="thin">
        <color auto="1"/>
      </top>
      <bottom style="thin">
        <color auto="1"/>
      </bottom>
      <diagonal/>
    </border>
    <border>
      <left style="thin">
        <color auto="1"/>
      </left>
      <right style="thin">
        <color rgb="FFFF6600"/>
      </right>
      <top style="thin">
        <color auto="1"/>
      </top>
      <bottom style="thin">
        <color auto="1"/>
      </bottom>
      <diagonal/>
    </border>
    <border>
      <left style="thin">
        <color indexed="64"/>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style="dashed">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dashed">
        <color auto="1"/>
      </right>
      <top style="thin">
        <color indexed="64"/>
      </top>
      <bottom/>
      <diagonal/>
    </border>
    <border>
      <left/>
      <right style="dashed">
        <color auto="1"/>
      </right>
      <top/>
      <bottom style="thin">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top style="double">
        <color auto="1"/>
      </top>
      <bottom/>
      <diagonal/>
    </border>
    <border>
      <left/>
      <right/>
      <top style="double">
        <color auto="1"/>
      </top>
      <bottom/>
      <diagonal/>
    </border>
    <border>
      <left/>
      <right style="thin">
        <color auto="1"/>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double">
        <color auto="1"/>
      </right>
      <top/>
      <bottom style="double">
        <color auto="1"/>
      </bottom>
      <diagonal/>
    </border>
    <border>
      <left style="dashed">
        <color auto="1"/>
      </left>
      <right/>
      <top style="double">
        <color auto="1"/>
      </top>
      <bottom/>
      <diagonal/>
    </border>
    <border>
      <left/>
      <right style="dashed">
        <color auto="1"/>
      </right>
      <top style="double">
        <color auto="1"/>
      </top>
      <bottom/>
      <diagonal/>
    </border>
    <border>
      <left style="double">
        <color auto="1"/>
      </left>
      <right style="thin">
        <color auto="1"/>
      </right>
      <top style="thin">
        <color auto="1"/>
      </top>
      <bottom style="thin">
        <color auto="1"/>
      </bottom>
      <diagonal/>
    </border>
    <border>
      <left/>
      <right style="double">
        <color auto="1"/>
      </right>
      <top/>
      <bottom style="thin">
        <color indexed="64"/>
      </bottom>
      <diagonal/>
    </border>
    <border>
      <left/>
      <right style="double">
        <color auto="1"/>
      </right>
      <top style="thin">
        <color indexed="64"/>
      </top>
      <bottom/>
      <diagonal/>
    </border>
    <border>
      <left style="dashed">
        <color auto="1"/>
      </left>
      <right/>
      <top/>
      <bottom style="double">
        <color auto="1"/>
      </bottom>
      <diagonal/>
    </border>
    <border>
      <left/>
      <right style="dashed">
        <color auto="1"/>
      </right>
      <top/>
      <bottom style="double">
        <color auto="1"/>
      </bottom>
      <diagonal/>
    </border>
    <border>
      <left/>
      <right/>
      <top/>
      <bottom style="dashed">
        <color auto="1"/>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bottom style="dashed">
        <color auto="1"/>
      </bottom>
      <diagonal/>
    </border>
    <border>
      <left style="thin">
        <color indexed="64"/>
      </left>
      <right/>
      <top style="thin">
        <color indexed="64"/>
      </top>
      <bottom style="dashed">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ouble">
        <color auto="1"/>
      </top>
      <bottom/>
      <diagonal/>
    </border>
    <border>
      <left style="thin">
        <color auto="1"/>
      </left>
      <right style="thin">
        <color auto="1"/>
      </right>
      <top/>
      <bottom style="thin">
        <color auto="1"/>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auto="1"/>
      </top>
      <bottom/>
      <diagonal/>
    </border>
    <border>
      <left/>
      <right style="dashed">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dashed">
        <color auto="1"/>
      </top>
      <bottom style="thin">
        <color indexed="64"/>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style="double">
        <color auto="1"/>
      </right>
      <top style="thin">
        <color auto="1"/>
      </top>
      <bottom/>
      <diagonal/>
    </border>
    <border>
      <left/>
      <right style="double">
        <color auto="1"/>
      </right>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diagonalUp="1">
      <left style="thin">
        <color auto="1"/>
      </left>
      <right/>
      <top/>
      <bottom style="thin">
        <color indexed="64"/>
      </bottom>
      <diagonal style="thin">
        <color indexed="64"/>
      </diagonal>
    </border>
    <border>
      <left/>
      <right/>
      <top style="thin">
        <color auto="1"/>
      </top>
      <bottom style="thin">
        <color auto="1"/>
      </bottom>
      <diagonal/>
    </border>
    <border>
      <left/>
      <right/>
      <top style="thin">
        <color rgb="FF007300"/>
      </top>
      <bottom style="thin">
        <color indexed="64"/>
      </bottom>
      <diagonal/>
    </border>
    <border>
      <left/>
      <right style="thin">
        <color indexed="64"/>
      </right>
      <top style="thin">
        <color rgb="FF007300"/>
      </top>
      <bottom style="thin">
        <color indexed="64"/>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53"/>
      </left>
      <right style="thin">
        <color indexed="53"/>
      </right>
      <top style="thin">
        <color indexed="53"/>
      </top>
      <bottom/>
      <diagonal/>
    </border>
    <border>
      <left style="thin">
        <color indexed="64"/>
      </left>
      <right style="thin">
        <color indexed="64"/>
      </right>
      <top style="thin">
        <color indexed="64"/>
      </top>
      <bottom style="thin">
        <color indexed="64"/>
      </bottom>
      <diagonal/>
    </border>
    <border>
      <left style="thin">
        <color indexed="64"/>
      </left>
      <right style="thin">
        <color indexed="53"/>
      </right>
      <top style="thin">
        <color indexed="64"/>
      </top>
      <bottom style="thin">
        <color indexed="64"/>
      </bottom>
      <diagonal/>
    </border>
    <border>
      <left style="thin">
        <color indexed="53"/>
      </left>
      <right style="thin">
        <color indexed="53"/>
      </right>
      <top style="thin">
        <color indexed="64"/>
      </top>
      <bottom style="thin">
        <color indexed="64"/>
      </bottom>
      <diagonal/>
    </border>
    <border>
      <left style="thin">
        <color indexed="53"/>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indexed="64"/>
      </right>
      <top style="thin">
        <color indexed="64"/>
      </top>
      <bottom style="dash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53"/>
      </right>
      <top style="thin">
        <color indexed="64"/>
      </top>
      <bottom style="thin">
        <color indexed="53"/>
      </bottom>
      <diagonal/>
    </border>
    <border>
      <left style="thin">
        <color indexed="53"/>
      </left>
      <right style="thin">
        <color indexed="53"/>
      </right>
      <top style="thin">
        <color indexed="64"/>
      </top>
      <bottom style="thin">
        <color indexed="53"/>
      </bottom>
      <diagonal/>
    </border>
    <border>
      <left style="thin">
        <color indexed="53"/>
      </left>
      <right style="thin">
        <color indexed="64"/>
      </right>
      <top style="thin">
        <color indexed="64"/>
      </top>
      <bottom style="thin">
        <color indexed="53"/>
      </bottom>
      <diagonal/>
    </border>
    <border>
      <left style="thin">
        <color indexed="64"/>
      </left>
      <right style="thin">
        <color indexed="53"/>
      </right>
      <top style="thin">
        <color indexed="53"/>
      </top>
      <bottom style="thin">
        <color indexed="53"/>
      </bottom>
      <diagonal/>
    </border>
    <border>
      <left style="thin">
        <color indexed="53"/>
      </left>
      <right style="thin">
        <color indexed="53"/>
      </right>
      <top style="thin">
        <color indexed="53"/>
      </top>
      <bottom style="thin">
        <color indexed="53"/>
      </bottom>
      <diagonal/>
    </border>
    <border>
      <left style="thin">
        <color indexed="53"/>
      </left>
      <right style="thin">
        <color indexed="64"/>
      </right>
      <top style="thin">
        <color indexed="53"/>
      </top>
      <bottom style="thin">
        <color indexed="53"/>
      </bottom>
      <diagonal/>
    </border>
    <border>
      <left style="thin">
        <color indexed="64"/>
      </left>
      <right style="thin">
        <color indexed="64"/>
      </right>
      <top style="thin">
        <color indexed="64"/>
      </top>
      <bottom style="thin">
        <color indexed="53"/>
      </bottom>
      <diagonal/>
    </border>
    <border>
      <left style="thin">
        <color indexed="64"/>
      </left>
      <right style="thin">
        <color indexed="64"/>
      </right>
      <top style="thin">
        <color indexed="53"/>
      </top>
      <bottom style="thin">
        <color indexed="53"/>
      </bottom>
      <diagonal/>
    </border>
    <border>
      <left style="thin">
        <color indexed="64"/>
      </left>
      <right style="thin">
        <color indexed="64"/>
      </right>
      <top style="thin">
        <color indexed="53"/>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diagonal/>
    </border>
    <border>
      <left style="thin">
        <color indexed="53"/>
      </left>
      <right style="thin">
        <color indexed="64"/>
      </right>
      <top style="thin">
        <color indexed="53"/>
      </top>
      <bottom/>
      <diagonal/>
    </border>
    <border diagonalUp="1">
      <left style="thin">
        <color indexed="64"/>
      </left>
      <right style="thin">
        <color indexed="64"/>
      </right>
      <top style="thin">
        <color indexed="64"/>
      </top>
      <bottom style="thin">
        <color indexed="64"/>
      </bottom>
      <diagonal style="thin">
        <color theme="1"/>
      </diagonal>
    </border>
    <border>
      <left style="thin">
        <color indexed="64"/>
      </left>
      <right style="thin">
        <color indexed="53"/>
      </right>
      <top style="thin">
        <color indexed="53"/>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theme="1"/>
      </diagonal>
    </border>
    <border diagonalUp="1">
      <left style="thin">
        <color indexed="64"/>
      </left>
      <right style="medium">
        <color indexed="64"/>
      </right>
      <top style="medium">
        <color indexed="64"/>
      </top>
      <bottom style="thin">
        <color indexed="64"/>
      </bottom>
      <diagonal style="thin">
        <color theme="1"/>
      </diagonal>
    </border>
    <border diagonalUp="1">
      <left style="thin">
        <color indexed="64"/>
      </left>
      <right style="medium">
        <color indexed="64"/>
      </right>
      <top style="thin">
        <color indexed="64"/>
      </top>
      <bottom style="thin">
        <color indexed="64"/>
      </bottom>
      <diagonal style="thin">
        <color theme="1"/>
      </diagonal>
    </border>
    <border diagonalUp="1">
      <left style="thin">
        <color indexed="64"/>
      </left>
      <right style="thin">
        <color indexed="64"/>
      </right>
      <top style="thin">
        <color indexed="64"/>
      </top>
      <bottom style="medium">
        <color indexed="64"/>
      </bottom>
      <diagonal style="thin">
        <color theme="1"/>
      </diagonal>
    </border>
    <border diagonalUp="1">
      <left style="thin">
        <color indexed="64"/>
      </left>
      <right style="medium">
        <color indexed="64"/>
      </right>
      <top style="thin">
        <color indexed="64"/>
      </top>
      <bottom style="medium">
        <color indexed="64"/>
      </bottom>
      <diagonal style="thin">
        <color theme="1"/>
      </diagonal>
    </border>
    <border>
      <left style="dotted">
        <color auto="1"/>
      </left>
      <right/>
      <top/>
      <bottom/>
      <diagonal/>
    </border>
    <border>
      <left/>
      <right style="dotted">
        <color auto="1"/>
      </right>
      <top style="thin">
        <color indexed="64"/>
      </top>
      <bottom/>
      <diagonal/>
    </border>
    <border>
      <left style="dotted">
        <color auto="1"/>
      </left>
      <right/>
      <top/>
      <bottom style="thin">
        <color indexed="64"/>
      </bottom>
      <diagonal/>
    </border>
    <border>
      <left/>
      <right style="dotted">
        <color auto="1"/>
      </right>
      <top/>
      <bottom style="thin">
        <color indexed="64"/>
      </bottom>
      <diagonal/>
    </border>
    <border>
      <left style="dotted">
        <color auto="1"/>
      </left>
      <right/>
      <top style="thin">
        <color indexed="64"/>
      </top>
      <bottom/>
      <diagonal/>
    </border>
    <border>
      <left style="dotted">
        <color auto="1"/>
      </left>
      <right/>
      <top/>
      <bottom style="double">
        <color indexed="64"/>
      </bottom>
      <diagonal/>
    </border>
    <border>
      <left/>
      <right style="dotted">
        <color auto="1"/>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diagonal/>
    </border>
    <border>
      <left style="dotted">
        <color indexed="64"/>
      </left>
      <right style="dotted">
        <color indexed="64"/>
      </right>
      <top style="thin">
        <color indexed="64"/>
      </top>
      <bottom/>
      <diagonal/>
    </border>
    <border>
      <left/>
      <right style="dotted">
        <color indexed="64"/>
      </right>
      <top/>
      <bottom/>
      <diagonal/>
    </border>
    <border>
      <left style="thick">
        <color rgb="FFFF0000"/>
      </left>
      <right style="thick">
        <color rgb="FFFF0000"/>
      </right>
      <top style="thick">
        <color rgb="FFFF0000"/>
      </top>
      <bottom style="thick">
        <color rgb="FFFF0000"/>
      </bottom>
      <diagonal/>
    </border>
  </borders>
  <cellStyleXfs count="5">
    <xf numFmtId="0" fontId="0" fillId="0" borderId="0"/>
    <xf numFmtId="9" fontId="2" fillId="0" borderId="0" applyFont="0" applyFill="0" applyBorder="0" applyAlignment="0" applyProtection="0"/>
    <xf numFmtId="38" fontId="2" fillId="0" borderId="0" applyFont="0" applyFill="0" applyBorder="0" applyAlignment="0" applyProtection="0"/>
    <xf numFmtId="0" fontId="36" fillId="0" borderId="0"/>
    <xf numFmtId="0" fontId="36" fillId="0" borderId="0"/>
  </cellStyleXfs>
  <cellXfs count="1502">
    <xf numFmtId="0" fontId="0" fillId="0" borderId="0" xfId="0"/>
    <xf numFmtId="38" fontId="8" fillId="0" borderId="0" xfId="2" applyFont="1" applyAlignment="1">
      <alignment vertical="center"/>
    </xf>
    <xf numFmtId="38" fontId="8" fillId="0" borderId="0" xfId="2" applyFont="1" applyFill="1" applyAlignment="1">
      <alignment vertical="center"/>
    </xf>
    <xf numFmtId="38" fontId="8" fillId="0" borderId="0" xfId="2" applyFont="1" applyFill="1" applyAlignment="1">
      <alignment horizontal="right" vertical="center"/>
    </xf>
    <xf numFmtId="0" fontId="8" fillId="0" borderId="0" xfId="0" applyFont="1" applyAlignment="1">
      <alignment vertical="center"/>
    </xf>
    <xf numFmtId="0" fontId="8" fillId="2" borderId="1" xfId="0" applyFont="1" applyFill="1" applyBorder="1" applyAlignment="1">
      <alignment horizontal="left" vertical="center"/>
    </xf>
    <xf numFmtId="0" fontId="9" fillId="0" borderId="0" xfId="0" applyFont="1" applyAlignment="1">
      <alignment vertical="center"/>
    </xf>
    <xf numFmtId="0" fontId="8" fillId="3" borderId="1" xfId="0" applyFont="1" applyFill="1" applyBorder="1" applyAlignment="1">
      <alignment vertical="center"/>
    </xf>
    <xf numFmtId="0" fontId="8" fillId="0" borderId="0" xfId="0" applyFont="1" applyAlignment="1">
      <alignment horizontal="left" vertical="center"/>
    </xf>
    <xf numFmtId="0" fontId="8" fillId="4" borderId="1" xfId="0" applyFont="1" applyFill="1" applyBorder="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8" fillId="0" borderId="1" xfId="0" applyFont="1" applyBorder="1" applyAlignment="1">
      <alignment horizontal="center" vertical="center"/>
    </xf>
    <xf numFmtId="182" fontId="8" fillId="0" borderId="1" xfId="0" applyNumberFormat="1" applyFont="1" applyBorder="1" applyAlignment="1">
      <alignment horizontal="right" vertical="center"/>
    </xf>
    <xf numFmtId="38" fontId="8" fillId="0" borderId="1" xfId="2" applyFont="1" applyFill="1" applyBorder="1" applyAlignment="1">
      <alignment vertical="center"/>
    </xf>
    <xf numFmtId="56" fontId="8" fillId="0" borderId="0" xfId="0" applyNumberFormat="1" applyFont="1" applyAlignment="1">
      <alignment vertical="center"/>
    </xf>
    <xf numFmtId="38" fontId="8" fillId="0" borderId="2" xfId="2" applyFont="1" applyFill="1" applyBorder="1" applyAlignment="1">
      <alignment horizontal="centerContinuous" vertical="center"/>
    </xf>
    <xf numFmtId="9" fontId="8" fillId="0" borderId="3" xfId="1" applyFont="1" applyFill="1" applyBorder="1" applyAlignment="1">
      <alignment horizontal="centerContinuous" vertical="center"/>
    </xf>
    <xf numFmtId="38" fontId="8" fillId="0" borderId="4" xfId="2" applyFont="1" applyFill="1" applyBorder="1" applyAlignment="1">
      <alignment horizontal="centerContinuous" vertical="center"/>
    </xf>
    <xf numFmtId="0" fontId="8" fillId="0" borderId="0" xfId="0" applyFont="1" applyAlignment="1">
      <alignment horizontal="center" vertical="center"/>
    </xf>
    <xf numFmtId="0" fontId="8" fillId="2" borderId="5" xfId="0" applyFont="1" applyFill="1" applyBorder="1" applyAlignment="1">
      <alignment horizontal="distributed" vertical="center" justifyLastLine="1"/>
    </xf>
    <xf numFmtId="0" fontId="8" fillId="0" borderId="6" xfId="0" applyFont="1" applyBorder="1" applyAlignment="1">
      <alignment horizontal="center" vertical="center"/>
    </xf>
    <xf numFmtId="181" fontId="8" fillId="2" borderId="2" xfId="0" applyNumberFormat="1" applyFont="1" applyFill="1" applyBorder="1" applyAlignment="1">
      <alignment horizontal="center" vertical="center"/>
    </xf>
    <xf numFmtId="176" fontId="8" fillId="0" borderId="0" xfId="2" applyNumberFormat="1" applyFont="1" applyFill="1" applyAlignment="1">
      <alignment vertical="center"/>
    </xf>
    <xf numFmtId="9" fontId="8" fillId="0" borderId="1" xfId="1" applyFont="1" applyFill="1" applyBorder="1" applyAlignment="1">
      <alignment horizontal="center" vertical="center"/>
    </xf>
    <xf numFmtId="0" fontId="8" fillId="2" borderId="1" xfId="0" applyFont="1" applyFill="1" applyBorder="1" applyAlignment="1">
      <alignment vertical="center"/>
    </xf>
    <xf numFmtId="57" fontId="8" fillId="0" borderId="0" xfId="0" applyNumberFormat="1" applyFont="1" applyAlignment="1">
      <alignment vertical="center"/>
    </xf>
    <xf numFmtId="9" fontId="8" fillId="0" borderId="0" xfId="1" applyFont="1" applyFill="1" applyBorder="1" applyAlignment="1">
      <alignment horizontal="center" vertical="center"/>
    </xf>
    <xf numFmtId="38" fontId="8" fillId="0" borderId="0" xfId="2" applyFont="1" applyFill="1" applyBorder="1" applyAlignment="1">
      <alignment horizontal="center" vertical="center"/>
    </xf>
    <xf numFmtId="38" fontId="8" fillId="5" borderId="6" xfId="2" applyFont="1" applyFill="1" applyBorder="1" applyAlignment="1">
      <alignment vertical="center"/>
    </xf>
    <xf numFmtId="0" fontId="8" fillId="6" borderId="2" xfId="0" applyFont="1" applyFill="1" applyBorder="1" applyAlignment="1">
      <alignment horizontal="center" vertical="center"/>
    </xf>
    <xf numFmtId="0" fontId="8" fillId="0" borderId="1" xfId="0" applyFont="1" applyBorder="1" applyAlignment="1">
      <alignment horizontal="center" vertical="center" shrinkToFit="1"/>
    </xf>
    <xf numFmtId="0" fontId="8" fillId="0" borderId="6" xfId="0" applyFont="1" applyBorder="1" applyAlignment="1">
      <alignment horizontal="center" vertical="center" shrinkToFit="1"/>
    </xf>
    <xf numFmtId="38" fontId="8" fillId="0" borderId="0" xfId="0" applyNumberFormat="1" applyFont="1" applyAlignment="1">
      <alignment vertical="center"/>
    </xf>
    <xf numFmtId="0" fontId="8" fillId="2" borderId="2" xfId="0" applyFont="1" applyFill="1" applyBorder="1" applyAlignment="1">
      <alignment horizontal="distributed" vertical="center" justifyLastLine="1"/>
    </xf>
    <xf numFmtId="0" fontId="8" fillId="3" borderId="7" xfId="0" applyFont="1" applyFill="1" applyBorder="1" applyAlignment="1">
      <alignment horizontal="center" vertical="center" shrinkToFit="1"/>
    </xf>
    <xf numFmtId="0" fontId="8" fillId="5" borderId="3" xfId="0" applyFont="1" applyFill="1" applyBorder="1" applyAlignment="1">
      <alignment horizontal="center" vertical="center" shrinkToFit="1"/>
    </xf>
    <xf numFmtId="38" fontId="8" fillId="5" borderId="7" xfId="2" applyFont="1" applyFill="1" applyBorder="1" applyAlignment="1">
      <alignment vertical="center"/>
    </xf>
    <xf numFmtId="0" fontId="8" fillId="0" borderId="3" xfId="0" applyFont="1" applyBorder="1" applyAlignment="1">
      <alignment horizontal="centerContinuous" vertical="center"/>
    </xf>
    <xf numFmtId="57" fontId="8" fillId="2" borderId="1" xfId="0" applyNumberFormat="1" applyFont="1" applyFill="1" applyBorder="1" applyAlignment="1">
      <alignment horizontal="center" vertical="center"/>
    </xf>
    <xf numFmtId="0" fontId="8" fillId="0" borderId="2" xfId="0" applyFont="1" applyBorder="1" applyAlignment="1">
      <alignment horizontal="centerContinuous" vertical="center"/>
    </xf>
    <xf numFmtId="9" fontId="8" fillId="0" borderId="0" xfId="1" applyFont="1" applyFill="1" applyAlignment="1">
      <alignment vertical="center"/>
    </xf>
    <xf numFmtId="9" fontId="8" fillId="0" borderId="1" xfId="1" applyFont="1" applyFill="1" applyBorder="1" applyAlignment="1">
      <alignment vertical="center"/>
    </xf>
    <xf numFmtId="0" fontId="8" fillId="0" borderId="8" xfId="0" applyFont="1" applyBorder="1" applyAlignme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182" fontId="8" fillId="3" borderId="1" xfId="0" applyNumberFormat="1" applyFont="1" applyFill="1" applyBorder="1" applyAlignment="1">
      <alignment horizontal="center" vertical="center"/>
    </xf>
    <xf numFmtId="0" fontId="8" fillId="0" borderId="7" xfId="0" applyFont="1" applyBorder="1" applyAlignment="1">
      <alignment horizontal="distributed" vertical="center"/>
    </xf>
    <xf numFmtId="0" fontId="8" fillId="0" borderId="10" xfId="0" applyFont="1" applyBorder="1" applyAlignment="1">
      <alignment vertical="center"/>
    </xf>
    <xf numFmtId="38" fontId="8" fillId="7" borderId="4" xfId="2" applyFont="1" applyFill="1" applyBorder="1" applyAlignment="1">
      <alignment vertical="center"/>
    </xf>
    <xf numFmtId="38" fontId="8" fillId="0" borderId="1" xfId="0" applyNumberFormat="1" applyFont="1" applyBorder="1" applyAlignment="1">
      <alignment vertical="center"/>
    </xf>
    <xf numFmtId="38" fontId="8" fillId="4" borderId="4" xfId="2" applyFont="1" applyFill="1" applyBorder="1" applyAlignment="1">
      <alignment vertical="center"/>
    </xf>
    <xf numFmtId="38" fontId="12" fillId="0" borderId="1" xfId="2" applyFont="1" applyFill="1" applyBorder="1" applyAlignment="1">
      <alignment vertical="center"/>
    </xf>
    <xf numFmtId="38" fontId="8" fillId="0" borderId="1" xfId="2" applyFont="1" applyBorder="1" applyAlignment="1">
      <alignment vertical="center"/>
    </xf>
    <xf numFmtId="57" fontId="8" fillId="0" borderId="1" xfId="0" applyNumberFormat="1" applyFont="1" applyBorder="1" applyAlignment="1">
      <alignment vertical="center"/>
    </xf>
    <xf numFmtId="0" fontId="8" fillId="0" borderId="1" xfId="2" applyNumberFormat="1" applyFont="1" applyBorder="1" applyAlignment="1">
      <alignment vertical="center"/>
    </xf>
    <xf numFmtId="0" fontId="8" fillId="0" borderId="1" xfId="0" applyFont="1" applyBorder="1" applyAlignment="1">
      <alignment vertical="center"/>
    </xf>
    <xf numFmtId="0" fontId="8" fillId="0" borderId="0" xfId="2" applyNumberFormat="1" applyFont="1" applyAlignment="1">
      <alignment vertical="center"/>
    </xf>
    <xf numFmtId="0" fontId="8" fillId="0" borderId="2" xfId="0" applyFont="1" applyBorder="1" applyAlignment="1">
      <alignment horizontal="center" vertical="center" shrinkToFit="1"/>
    </xf>
    <xf numFmtId="38" fontId="8" fillId="5" borderId="11" xfId="2" applyFont="1" applyFill="1" applyBorder="1" applyAlignment="1">
      <alignment vertical="center"/>
    </xf>
    <xf numFmtId="0" fontId="13" fillId="0" borderId="0" xfId="0" applyFont="1" applyAlignment="1">
      <alignment vertical="center"/>
    </xf>
    <xf numFmtId="38" fontId="13" fillId="0" borderId="1" xfId="2" applyFont="1" applyBorder="1" applyAlignment="1">
      <alignment vertical="center"/>
    </xf>
    <xf numFmtId="38" fontId="13" fillId="0" borderId="0" xfId="2" applyFont="1" applyFill="1" applyBorder="1" applyAlignment="1">
      <alignment vertical="center"/>
    </xf>
    <xf numFmtId="9" fontId="13" fillId="0" borderId="0" xfId="1" applyFont="1" applyFill="1" applyAlignment="1">
      <alignment vertical="center"/>
    </xf>
    <xf numFmtId="38" fontId="13" fillId="0" borderId="0" xfId="2" applyFont="1" applyFill="1" applyAlignment="1">
      <alignment vertical="center"/>
    </xf>
    <xf numFmtId="38" fontId="8" fillId="0" borderId="1" xfId="2" applyFont="1" applyFill="1" applyBorder="1" applyAlignment="1">
      <alignment horizontal="centerContinuous" vertical="center"/>
    </xf>
    <xf numFmtId="0" fontId="8" fillId="0" borderId="4" xfId="0" applyFont="1" applyBorder="1" applyAlignment="1">
      <alignment horizontal="centerContinuous" vertical="center"/>
    </xf>
    <xf numFmtId="0" fontId="8" fillId="0" borderId="0" xfId="0" applyFont="1" applyAlignment="1">
      <alignment horizontal="right" vertical="center"/>
    </xf>
    <xf numFmtId="38" fontId="8" fillId="0" borderId="1" xfId="2" applyFont="1" applyFill="1" applyBorder="1" applyAlignment="1">
      <alignment horizontal="right" vertical="center"/>
    </xf>
    <xf numFmtId="0" fontId="14" fillId="0" borderId="0" xfId="0" applyFont="1" applyAlignment="1">
      <alignment vertical="center"/>
    </xf>
    <xf numFmtId="0" fontId="4" fillId="0" borderId="0" xfId="0" applyFont="1" applyAlignment="1">
      <alignment vertical="center"/>
    </xf>
    <xf numFmtId="0" fontId="16" fillId="0" borderId="0" xfId="0" applyFont="1"/>
    <xf numFmtId="0" fontId="4" fillId="0" borderId="0" xfId="0" applyFont="1"/>
    <xf numFmtId="0" fontId="18" fillId="0" borderId="0" xfId="0" applyFont="1" applyProtection="1">
      <protection hidden="1"/>
    </xf>
    <xf numFmtId="0" fontId="25" fillId="0" borderId="0" xfId="0" applyFont="1" applyProtection="1">
      <protection hidden="1"/>
    </xf>
    <xf numFmtId="0" fontId="26" fillId="0" borderId="0" xfId="0" applyFont="1" applyProtection="1">
      <protection hidden="1"/>
    </xf>
    <xf numFmtId="0" fontId="28" fillId="0" borderId="0" xfId="0" applyFont="1" applyAlignment="1" applyProtection="1">
      <alignment vertical="center"/>
      <protection hidden="1"/>
    </xf>
    <xf numFmtId="0" fontId="29" fillId="0" borderId="0" xfId="0" applyFont="1" applyProtection="1">
      <protection hidden="1"/>
    </xf>
    <xf numFmtId="38" fontId="8" fillId="5" borderId="4" xfId="2" applyFont="1" applyFill="1" applyBorder="1" applyAlignment="1">
      <alignment horizontal="right" vertical="center"/>
    </xf>
    <xf numFmtId="0" fontId="8" fillId="2" borderId="3" xfId="0" applyFont="1" applyFill="1" applyBorder="1" applyAlignment="1">
      <alignment horizontal="distributed" vertical="center" justifyLastLine="1"/>
    </xf>
    <xf numFmtId="0" fontId="30" fillId="0" borderId="0" xfId="0" applyFont="1" applyAlignment="1">
      <alignment vertical="center"/>
    </xf>
    <xf numFmtId="0" fontId="31" fillId="0" borderId="0" xfId="0" applyFont="1" applyAlignment="1">
      <alignment vertical="center"/>
    </xf>
    <xf numFmtId="38" fontId="8" fillId="0" borderId="4" xfId="2" applyFont="1" applyFill="1" applyBorder="1" applyAlignment="1">
      <alignment vertical="center"/>
    </xf>
    <xf numFmtId="56" fontId="8" fillId="0" borderId="0" xfId="0" applyNumberFormat="1" applyFont="1" applyAlignment="1">
      <alignment horizontal="right" vertical="center"/>
    </xf>
    <xf numFmtId="0" fontId="8" fillId="0" borderId="0" xfId="0" applyFont="1" applyAlignment="1">
      <alignment horizontal="distributed" vertical="center"/>
    </xf>
    <xf numFmtId="56" fontId="8" fillId="0" borderId="0" xfId="0" applyNumberFormat="1" applyFont="1" applyAlignment="1">
      <alignment horizontal="center" vertical="center"/>
    </xf>
    <xf numFmtId="38" fontId="8" fillId="2" borderId="7" xfId="2" applyFont="1" applyFill="1" applyBorder="1" applyAlignment="1">
      <alignment vertical="center"/>
    </xf>
    <xf numFmtId="38" fontId="8" fillId="2" borderId="16" xfId="2" applyFont="1" applyFill="1" applyBorder="1" applyAlignment="1">
      <alignment vertical="center"/>
    </xf>
    <xf numFmtId="0" fontId="8" fillId="0" borderId="16" xfId="0" applyFont="1" applyBorder="1" applyAlignment="1">
      <alignment horizontal="center" vertical="center"/>
    </xf>
    <xf numFmtId="38" fontId="8" fillId="6" borderId="17" xfId="2" applyFont="1" applyFill="1" applyBorder="1" applyAlignment="1">
      <alignment horizontal="distributed" vertical="center"/>
    </xf>
    <xf numFmtId="0" fontId="17" fillId="0" borderId="0" xfId="0" applyFont="1" applyAlignment="1" applyProtection="1">
      <alignment horizontal="left" vertical="top" textRotation="255"/>
      <protection hidden="1"/>
    </xf>
    <xf numFmtId="38" fontId="8" fillId="8" borderId="1" xfId="2" applyFont="1" applyFill="1" applyBorder="1" applyAlignment="1">
      <alignment vertical="center"/>
    </xf>
    <xf numFmtId="38" fontId="8" fillId="5" borderId="18" xfId="2" applyFont="1" applyFill="1" applyBorder="1" applyAlignment="1">
      <alignment vertical="center"/>
    </xf>
    <xf numFmtId="38" fontId="8" fillId="5" borderId="6" xfId="0" applyNumberFormat="1" applyFont="1" applyFill="1" applyBorder="1" applyAlignment="1">
      <alignment vertical="center"/>
    </xf>
    <xf numFmtId="38" fontId="33" fillId="5" borderId="9" xfId="2" applyFont="1" applyFill="1" applyBorder="1" applyAlignment="1">
      <alignment vertical="center"/>
    </xf>
    <xf numFmtId="38" fontId="33" fillId="0" borderId="4" xfId="2" applyFont="1" applyFill="1" applyBorder="1" applyAlignment="1">
      <alignment horizontal="distributed" vertical="center"/>
    </xf>
    <xf numFmtId="0" fontId="22" fillId="0" borderId="0" xfId="0" applyFont="1"/>
    <xf numFmtId="0" fontId="23" fillId="0" borderId="0" xfId="0" applyFont="1"/>
    <xf numFmtId="0" fontId="1" fillId="0" borderId="0" xfId="0" applyFont="1" applyProtection="1">
      <protection hidden="1"/>
    </xf>
    <xf numFmtId="0" fontId="6" fillId="0" borderId="0" xfId="0" applyFont="1"/>
    <xf numFmtId="0" fontId="34" fillId="0" borderId="0" xfId="0" applyFont="1" applyAlignment="1" applyProtection="1">
      <alignment horizontal="right" textRotation="255" shrinkToFit="1"/>
      <protection hidden="1"/>
    </xf>
    <xf numFmtId="0" fontId="1" fillId="0" borderId="0" xfId="0" applyFont="1" applyAlignment="1" applyProtection="1">
      <alignment vertical="center"/>
      <protection hidden="1"/>
    </xf>
    <xf numFmtId="0" fontId="27" fillId="0" borderId="0" xfId="0" applyFont="1" applyProtection="1">
      <protection hidden="1"/>
    </xf>
    <xf numFmtId="0" fontId="4" fillId="0" borderId="0" xfId="0" applyFont="1" applyAlignment="1">
      <alignment horizontal="center"/>
    </xf>
    <xf numFmtId="0" fontId="1" fillId="0" borderId="0" xfId="0" applyFont="1" applyAlignment="1" applyProtection="1">
      <alignment horizontal="left"/>
      <protection hidden="1"/>
    </xf>
    <xf numFmtId="0" fontId="8" fillId="0" borderId="10" xfId="0" applyFont="1" applyBorder="1" applyAlignment="1">
      <alignment horizontal="center" vertical="center"/>
    </xf>
    <xf numFmtId="0" fontId="8" fillId="0" borderId="11" xfId="0" applyFont="1" applyBorder="1" applyAlignment="1">
      <alignment vertical="center"/>
    </xf>
    <xf numFmtId="38" fontId="8" fillId="2" borderId="4" xfId="2" applyFont="1" applyFill="1" applyBorder="1" applyAlignment="1">
      <alignment vertical="center"/>
    </xf>
    <xf numFmtId="1" fontId="19" fillId="0" borderId="20" xfId="0" applyNumberFormat="1" applyFont="1" applyBorder="1" applyAlignment="1">
      <alignment horizontal="center" vertical="center" shrinkToFit="1"/>
    </xf>
    <xf numFmtId="0" fontId="20" fillId="0" borderId="20" xfId="0" applyFont="1" applyBorder="1" applyAlignment="1" applyProtection="1">
      <alignment horizontal="right" vertical="center"/>
      <protection hidden="1"/>
    </xf>
    <xf numFmtId="0" fontId="20" fillId="0" borderId="0" xfId="0" applyFont="1" applyAlignment="1" applyProtection="1">
      <alignment horizontal="left" vertical="center"/>
      <protection hidden="1"/>
    </xf>
    <xf numFmtId="0" fontId="37" fillId="0" borderId="0" xfId="0" applyFont="1" applyAlignment="1">
      <alignment horizontal="right" vertical="top" textRotation="255"/>
    </xf>
    <xf numFmtId="38" fontId="8" fillId="0" borderId="10" xfId="2" applyFont="1" applyBorder="1" applyAlignment="1">
      <alignment vertical="center"/>
    </xf>
    <xf numFmtId="38" fontId="8" fillId="0" borderId="26" xfId="2" applyFont="1" applyBorder="1" applyAlignment="1">
      <alignment vertical="center"/>
    </xf>
    <xf numFmtId="0" fontId="38" fillId="0" borderId="0" xfId="0" applyFont="1" applyAlignment="1">
      <alignment horizontal="right" vertical="center"/>
    </xf>
    <xf numFmtId="0" fontId="32" fillId="5" borderId="4" xfId="0" applyFont="1" applyFill="1" applyBorder="1" applyAlignment="1">
      <alignment horizontal="left" vertical="center"/>
    </xf>
    <xf numFmtId="0" fontId="8" fillId="0" borderId="3" xfId="0" applyFont="1" applyBorder="1" applyAlignment="1">
      <alignment vertical="center"/>
    </xf>
    <xf numFmtId="0" fontId="4" fillId="0" borderId="0" xfId="0" applyFont="1" applyAlignment="1" applyProtection="1">
      <alignment vertical="center"/>
      <protection hidden="1"/>
    </xf>
    <xf numFmtId="0" fontId="4" fillId="0" borderId="0" xfId="0" applyFont="1" applyProtection="1">
      <protection hidden="1"/>
    </xf>
    <xf numFmtId="0" fontId="39" fillId="0" borderId="0" xfId="0" applyFont="1" applyAlignment="1">
      <alignment horizontal="right" vertical="center" shrinkToFit="1"/>
    </xf>
    <xf numFmtId="0" fontId="4" fillId="0" borderId="0" xfId="0" applyFont="1" applyAlignment="1" applyProtection="1">
      <alignment horizontal="center" vertical="center"/>
      <protection hidden="1"/>
    </xf>
    <xf numFmtId="0" fontId="41" fillId="0" borderId="0" xfId="0" applyFont="1" applyAlignment="1" applyProtection="1">
      <alignment horizontal="right" textRotation="255" shrinkToFit="1"/>
      <protection hidden="1"/>
    </xf>
    <xf numFmtId="0" fontId="4" fillId="0" borderId="14" xfId="0" applyFont="1" applyBorder="1"/>
    <xf numFmtId="0" fontId="4" fillId="0" borderId="0" xfId="0" applyFont="1" applyAlignment="1">
      <alignment horizontal="center" vertical="center"/>
    </xf>
    <xf numFmtId="0" fontId="4" fillId="0" borderId="0" xfId="0" applyFont="1" applyAlignment="1" applyProtection="1">
      <alignment horizontal="left" vertical="center" indent="1" shrinkToFit="1"/>
      <protection hidden="1"/>
    </xf>
    <xf numFmtId="0" fontId="6" fillId="0" borderId="0" xfId="0" applyFont="1" applyAlignment="1" applyProtection="1">
      <alignment horizontal="left" vertical="center" indent="1" shrinkToFit="1"/>
      <protection hidden="1"/>
    </xf>
    <xf numFmtId="0" fontId="8" fillId="0" borderId="0" xfId="0" applyFont="1"/>
    <xf numFmtId="0" fontId="41" fillId="0" borderId="0" xfId="0" applyFont="1" applyAlignment="1">
      <alignment horizontal="right" vertical="center" shrinkToFit="1"/>
    </xf>
    <xf numFmtId="0" fontId="4" fillId="0" borderId="0" xfId="0" applyFont="1" applyAlignment="1">
      <alignment horizontal="right" vertical="top" textRotation="255"/>
    </xf>
    <xf numFmtId="0" fontId="43" fillId="0" borderId="0" xfId="0" applyFont="1" applyAlignment="1" applyProtection="1">
      <alignment horizontal="right" textRotation="255" shrinkToFit="1"/>
      <protection hidden="1"/>
    </xf>
    <xf numFmtId="0" fontId="43" fillId="0" borderId="0" xfId="0" applyFont="1" applyAlignment="1">
      <alignment horizontal="right" vertical="center" shrinkToFit="1"/>
    </xf>
    <xf numFmtId="0" fontId="16"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44" fillId="0" borderId="0" xfId="0" applyFont="1" applyAlignment="1" applyProtection="1">
      <alignment horizontal="distributed"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horizontal="left" vertical="center"/>
      <protection hidden="1"/>
    </xf>
    <xf numFmtId="0" fontId="6" fillId="0" borderId="0" xfId="0" applyFont="1" applyAlignment="1">
      <alignment horizontal="right"/>
    </xf>
    <xf numFmtId="0" fontId="32" fillId="0" borderId="1" xfId="0" applyFont="1" applyBorder="1" applyAlignment="1">
      <alignment horizontal="distributed" vertical="center" wrapText="1"/>
    </xf>
    <xf numFmtId="0" fontId="32" fillId="5" borderId="4" xfId="0" applyFont="1" applyFill="1" applyBorder="1" applyAlignment="1">
      <alignment vertical="center"/>
    </xf>
    <xf numFmtId="0" fontId="45" fillId="0" borderId="0" xfId="0" applyFont="1" applyAlignment="1">
      <alignment vertical="center"/>
    </xf>
    <xf numFmtId="0" fontId="8" fillId="10" borderId="0" xfId="0" applyFont="1" applyFill="1" applyAlignment="1">
      <alignment vertical="center"/>
    </xf>
    <xf numFmtId="0" fontId="8" fillId="3" borderId="1" xfId="0" applyFont="1" applyFill="1" applyBorder="1" applyAlignment="1">
      <alignment horizontal="center" vertical="center" shrinkToFit="1"/>
    </xf>
    <xf numFmtId="0" fontId="32" fillId="0" borderId="0" xfId="0" applyFont="1" applyAlignment="1">
      <alignment horizontal="left" vertical="center"/>
    </xf>
    <xf numFmtId="182" fontId="8" fillId="11" borderId="1" xfId="0" applyNumberFormat="1" applyFont="1" applyFill="1" applyBorder="1" applyAlignment="1">
      <alignment horizontal="right" vertical="center"/>
    </xf>
    <xf numFmtId="38" fontId="8" fillId="11" borderId="1" xfId="2" applyFont="1" applyFill="1" applyBorder="1" applyAlignment="1">
      <alignment vertical="center"/>
    </xf>
    <xf numFmtId="9" fontId="8" fillId="11" borderId="1" xfId="1" applyFont="1" applyFill="1" applyBorder="1" applyAlignment="1">
      <alignment vertical="center"/>
    </xf>
    <xf numFmtId="38" fontId="8" fillId="0" borderId="13" xfId="2" applyFont="1" applyFill="1" applyBorder="1" applyAlignment="1">
      <alignment vertical="center"/>
    </xf>
    <xf numFmtId="0" fontId="8" fillId="0" borderId="15" xfId="0" applyFont="1" applyBorder="1" applyAlignment="1">
      <alignment vertical="center"/>
    </xf>
    <xf numFmtId="38" fontId="8" fillId="0" borderId="14" xfId="2" applyFont="1" applyBorder="1" applyAlignment="1">
      <alignment horizontal="right" vertical="center"/>
    </xf>
    <xf numFmtId="38" fontId="8" fillId="0" borderId="17" xfId="2" applyFont="1" applyBorder="1" applyAlignment="1">
      <alignment horizontal="right" vertical="center"/>
    </xf>
    <xf numFmtId="0" fontId="8" fillId="0" borderId="20" xfId="0" applyFont="1" applyBorder="1" applyAlignment="1">
      <alignment vertical="center"/>
    </xf>
    <xf numFmtId="38" fontId="8" fillId="11" borderId="1" xfId="2" applyFont="1" applyFill="1" applyBorder="1" applyAlignment="1">
      <alignment horizontal="right" vertical="center"/>
    </xf>
    <xf numFmtId="38" fontId="8" fillId="0" borderId="0" xfId="2" applyFont="1" applyFill="1" applyAlignment="1">
      <alignment horizontal="center" vertical="center"/>
    </xf>
    <xf numFmtId="0" fontId="8" fillId="12" borderId="2" xfId="0" applyFont="1" applyFill="1" applyBorder="1" applyAlignment="1">
      <alignment horizontal="distributed" vertical="center"/>
    </xf>
    <xf numFmtId="182" fontId="8" fillId="12" borderId="1" xfId="0" applyNumberFormat="1" applyFont="1" applyFill="1" applyBorder="1" applyAlignment="1">
      <alignment horizontal="right" vertical="center"/>
    </xf>
    <xf numFmtId="38" fontId="8" fillId="12" borderId="4" xfId="2" applyFont="1" applyFill="1" applyBorder="1" applyAlignment="1">
      <alignment vertical="center"/>
    </xf>
    <xf numFmtId="38" fontId="8" fillId="12" borderId="1" xfId="2" applyFont="1" applyFill="1" applyBorder="1" applyAlignment="1">
      <alignment vertical="center"/>
    </xf>
    <xf numFmtId="38" fontId="8" fillId="0" borderId="20" xfId="2" applyFont="1" applyBorder="1" applyAlignment="1">
      <alignment vertical="center"/>
    </xf>
    <xf numFmtId="38" fontId="8" fillId="12" borderId="9" xfId="2" applyFont="1" applyFill="1" applyBorder="1" applyAlignment="1">
      <alignment vertical="center"/>
    </xf>
    <xf numFmtId="38" fontId="8" fillId="0" borderId="0" xfId="2" applyFont="1" applyBorder="1" applyAlignment="1">
      <alignment vertical="center"/>
    </xf>
    <xf numFmtId="38" fontId="8" fillId="0" borderId="20" xfId="2" applyFont="1" applyFill="1" applyBorder="1" applyAlignment="1">
      <alignment horizontal="right" vertical="center"/>
    </xf>
    <xf numFmtId="38" fontId="8" fillId="13" borderId="1" xfId="2" applyFont="1" applyFill="1" applyBorder="1" applyAlignment="1">
      <alignment vertical="center"/>
    </xf>
    <xf numFmtId="0" fontId="8" fillId="13" borderId="1" xfId="0" applyFont="1" applyFill="1" applyBorder="1" applyAlignment="1">
      <alignment vertical="center"/>
    </xf>
    <xf numFmtId="38" fontId="8" fillId="13" borderId="1" xfId="2" applyFont="1" applyFill="1" applyBorder="1" applyAlignment="1">
      <alignment horizontal="center" vertical="center"/>
    </xf>
    <xf numFmtId="38" fontId="8" fillId="13" borderId="7" xfId="2" applyFont="1" applyFill="1" applyBorder="1" applyAlignment="1">
      <alignment vertical="center"/>
    </xf>
    <xf numFmtId="38" fontId="8" fillId="5" borderId="10" xfId="2" applyFont="1" applyFill="1" applyBorder="1" applyAlignment="1">
      <alignment vertical="center"/>
    </xf>
    <xf numFmtId="0" fontId="32" fillId="13" borderId="4" xfId="0" applyFont="1" applyFill="1" applyBorder="1" applyAlignment="1">
      <alignment horizontal="left" vertical="center"/>
    </xf>
    <xf numFmtId="0" fontId="30" fillId="0" borderId="0" xfId="0" applyFont="1" applyAlignment="1">
      <alignment horizontal="right" vertical="center"/>
    </xf>
    <xf numFmtId="0" fontId="8" fillId="0" borderId="2" xfId="0" applyFont="1" applyBorder="1" applyAlignment="1">
      <alignment horizontal="distributed" vertical="center" shrinkToFit="1"/>
    </xf>
    <xf numFmtId="38" fontId="9" fillId="0" borderId="16" xfId="2" applyFont="1" applyFill="1" applyBorder="1" applyAlignment="1">
      <alignment vertical="center" textRotation="255" shrinkToFit="1"/>
    </xf>
    <xf numFmtId="38" fontId="9" fillId="0" borderId="7" xfId="2" applyFont="1" applyFill="1" applyBorder="1" applyAlignment="1">
      <alignment vertical="center" textRotation="255" shrinkToFit="1"/>
    </xf>
    <xf numFmtId="38" fontId="8" fillId="9" borderId="1" xfId="2" applyFont="1" applyFill="1" applyBorder="1" applyAlignment="1">
      <alignment vertical="center"/>
    </xf>
    <xf numFmtId="0" fontId="38" fillId="0" borderId="0" xfId="0" applyFont="1" applyAlignment="1">
      <alignment vertical="center"/>
    </xf>
    <xf numFmtId="0" fontId="38" fillId="0" borderId="0" xfId="0" applyFont="1" applyAlignment="1">
      <alignment horizontal="right" vertical="center" wrapText="1"/>
    </xf>
    <xf numFmtId="38" fontId="8" fillId="9" borderId="0" xfId="2" applyFont="1" applyFill="1" applyAlignment="1">
      <alignment vertical="center"/>
    </xf>
    <xf numFmtId="38" fontId="12" fillId="0" borderId="1" xfId="2" applyFont="1" applyFill="1" applyBorder="1" applyAlignment="1">
      <alignment horizontal="center" vertical="center"/>
    </xf>
    <xf numFmtId="38" fontId="12" fillId="14" borderId="1" xfId="2" applyFont="1" applyFill="1" applyBorder="1" applyAlignment="1">
      <alignment horizontal="center" vertical="center"/>
    </xf>
    <xf numFmtId="0" fontId="8" fillId="15" borderId="1" xfId="0" applyFont="1" applyFill="1" applyBorder="1" applyAlignment="1">
      <alignment horizontal="center" vertical="center"/>
    </xf>
    <xf numFmtId="182" fontId="8" fillId="15" borderId="1" xfId="0" applyNumberFormat="1" applyFont="1" applyFill="1" applyBorder="1" applyAlignment="1">
      <alignment horizontal="center" vertical="center"/>
    </xf>
    <xf numFmtId="0" fontId="8" fillId="3" borderId="7" xfId="0" applyFont="1" applyFill="1" applyBorder="1" applyAlignment="1">
      <alignment horizontal="center" vertical="center"/>
    </xf>
    <xf numFmtId="182" fontId="8" fillId="3" borderId="7" xfId="0"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16" borderId="0" xfId="0" applyFont="1" applyFill="1" applyAlignment="1">
      <alignment vertical="center"/>
    </xf>
    <xf numFmtId="57" fontId="8" fillId="16" borderId="0" xfId="0" applyNumberFormat="1" applyFont="1" applyFill="1" applyAlignment="1">
      <alignment vertical="center"/>
    </xf>
    <xf numFmtId="0" fontId="8" fillId="16" borderId="0" xfId="0" applyFont="1" applyFill="1" applyAlignment="1">
      <alignment horizontal="right" vertical="center"/>
    </xf>
    <xf numFmtId="0" fontId="8" fillId="3" borderId="9" xfId="0" applyFont="1" applyFill="1" applyBorder="1" applyAlignment="1">
      <alignment horizontal="center" vertical="center"/>
    </xf>
    <xf numFmtId="38" fontId="8" fillId="13" borderId="3" xfId="0" applyNumberFormat="1" applyFont="1" applyFill="1" applyBorder="1" applyAlignment="1">
      <alignment horizontal="center" vertical="center"/>
    </xf>
    <xf numFmtId="38" fontId="8" fillId="17" borderId="4" xfId="2" applyFont="1" applyFill="1" applyBorder="1" applyAlignment="1">
      <alignment vertical="center"/>
    </xf>
    <xf numFmtId="38" fontId="9" fillId="0" borderId="6" xfId="2" applyFont="1" applyFill="1" applyBorder="1" applyAlignment="1">
      <alignment vertical="center" shrinkToFit="1"/>
    </xf>
    <xf numFmtId="0" fontId="45" fillId="0" borderId="16" xfId="0" applyFont="1" applyBorder="1" applyAlignment="1">
      <alignment vertical="center"/>
    </xf>
    <xf numFmtId="38" fontId="8" fillId="0" borderId="16" xfId="2" applyFont="1" applyFill="1" applyBorder="1" applyAlignment="1">
      <alignment vertical="center"/>
    </xf>
    <xf numFmtId="0" fontId="8" fillId="0" borderId="16" xfId="0" applyFont="1" applyBorder="1" applyAlignment="1">
      <alignment vertical="center"/>
    </xf>
    <xf numFmtId="0" fontId="8" fillId="18" borderId="2" xfId="0" applyFont="1" applyFill="1" applyBorder="1" applyAlignment="1">
      <alignment horizontal="distributed" vertical="center"/>
    </xf>
    <xf numFmtId="0" fontId="49" fillId="0" borderId="0" xfId="0" applyFont="1" applyAlignment="1" applyProtection="1">
      <alignment horizontal="right" textRotation="255" shrinkToFit="1"/>
      <protection hidden="1"/>
    </xf>
    <xf numFmtId="0" fontId="32" fillId="0" borderId="0" xfId="0" applyFont="1"/>
    <xf numFmtId="0" fontId="50" fillId="0" borderId="0" xfId="0" applyFont="1" applyAlignment="1" applyProtection="1">
      <alignment horizontal="right" textRotation="255" shrinkToFit="1"/>
      <protection hidden="1"/>
    </xf>
    <xf numFmtId="0" fontId="32"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0" fontId="20" fillId="0" borderId="0" xfId="0" applyFont="1" applyAlignment="1" applyProtection="1">
      <alignment horizontal="right" vertical="center"/>
      <protection hidden="1"/>
    </xf>
    <xf numFmtId="1" fontId="19" fillId="0" borderId="0" xfId="0" applyNumberFormat="1" applyFont="1" applyAlignment="1">
      <alignment horizontal="center" vertical="center" shrinkToFit="1"/>
    </xf>
    <xf numFmtId="0" fontId="4" fillId="0" borderId="55" xfId="0" applyFont="1" applyBorder="1"/>
    <xf numFmtId="0" fontId="16" fillId="0" borderId="55" xfId="0" applyFont="1" applyBorder="1" applyAlignment="1" applyProtection="1">
      <alignment horizontal="center" vertical="distributed" textRotation="255" justifyLastLine="1"/>
      <protection hidden="1"/>
    </xf>
    <xf numFmtId="0" fontId="4" fillId="0" borderId="49" xfId="0" applyFont="1" applyBorder="1" applyAlignment="1" applyProtection="1">
      <alignment horizontal="left" vertical="top"/>
      <protection hidden="1"/>
    </xf>
    <xf numFmtId="0" fontId="4" fillId="0" borderId="49" xfId="0" applyFont="1" applyBorder="1"/>
    <xf numFmtId="0" fontId="4" fillId="0" borderId="65" xfId="0" applyFont="1" applyBorder="1"/>
    <xf numFmtId="0" fontId="4" fillId="0" borderId="49" xfId="0" applyFont="1" applyBorder="1" applyAlignment="1" applyProtection="1">
      <alignment horizontal="center" vertical="top" shrinkToFit="1"/>
      <protection hidden="1"/>
    </xf>
    <xf numFmtId="0" fontId="4" fillId="0" borderId="65" xfId="0" applyFont="1" applyBorder="1" applyAlignment="1">
      <alignment vertical="top"/>
    </xf>
    <xf numFmtId="0" fontId="6" fillId="0" borderId="65" xfId="0" applyFont="1" applyBorder="1" applyAlignment="1" applyProtection="1">
      <alignment horizontal="center" vertical="top" shrinkToFit="1"/>
      <protection hidden="1"/>
    </xf>
    <xf numFmtId="0" fontId="4" fillId="0" borderId="61" xfId="0" applyFont="1" applyBorder="1" applyAlignment="1" applyProtection="1">
      <alignment horizontal="center" vertical="top" shrinkToFit="1"/>
      <protection hidden="1"/>
    </xf>
    <xf numFmtId="0" fontId="4" fillId="0" borderId="68" xfId="0" applyFont="1" applyBorder="1"/>
    <xf numFmtId="0" fontId="4" fillId="0" borderId="27" xfId="0" applyFont="1" applyBorder="1" applyAlignment="1" applyProtection="1">
      <alignment horizontal="center" vertical="top" shrinkToFit="1"/>
      <protection hidden="1"/>
    </xf>
    <xf numFmtId="0" fontId="6" fillId="0" borderId="66" xfId="0" applyFont="1" applyBorder="1" applyAlignment="1" applyProtection="1">
      <alignment horizontal="center" vertical="top" shrinkToFit="1"/>
      <protection hidden="1"/>
    </xf>
    <xf numFmtId="0" fontId="4" fillId="0" borderId="71" xfId="0" applyFont="1" applyBorder="1" applyAlignment="1">
      <alignment vertical="top"/>
    </xf>
    <xf numFmtId="0" fontId="4" fillId="0" borderId="74" xfId="0" applyFont="1" applyBorder="1" applyAlignment="1" applyProtection="1">
      <alignment horizontal="left" vertical="top"/>
      <protection hidden="1"/>
    </xf>
    <xf numFmtId="0" fontId="4" fillId="0" borderId="75" xfId="0" applyFont="1" applyBorder="1"/>
    <xf numFmtId="0" fontId="4" fillId="0" borderId="75" xfId="0" applyFont="1" applyBorder="1" applyAlignment="1" applyProtection="1">
      <alignment horizontal="left" vertical="top"/>
      <protection hidden="1"/>
    </xf>
    <xf numFmtId="0" fontId="4" fillId="0" borderId="75" xfId="0" applyFont="1" applyBorder="1" applyAlignment="1">
      <alignment horizontal="right"/>
    </xf>
    <xf numFmtId="0" fontId="4" fillId="0" borderId="80" xfId="0" applyFont="1" applyBorder="1"/>
    <xf numFmtId="0" fontId="4" fillId="0" borderId="81" xfId="0" applyFont="1" applyBorder="1"/>
    <xf numFmtId="0" fontId="22" fillId="0" borderId="81" xfId="0" applyFont="1" applyBorder="1" applyAlignment="1" applyProtection="1">
      <alignment horizontal="center" vertical="top" shrinkToFit="1"/>
      <protection hidden="1"/>
    </xf>
    <xf numFmtId="0" fontId="4" fillId="0" borderId="74" xfId="0" applyFont="1" applyBorder="1" applyAlignment="1" applyProtection="1">
      <alignment horizontal="center" vertical="top" shrinkToFit="1"/>
      <protection hidden="1"/>
    </xf>
    <xf numFmtId="0" fontId="4" fillId="0" borderId="75" xfId="0" applyFont="1" applyBorder="1" applyAlignment="1" applyProtection="1">
      <alignment horizontal="center" vertical="top" shrinkToFit="1"/>
      <protection hidden="1"/>
    </xf>
    <xf numFmtId="0" fontId="4" fillId="0" borderId="84" xfId="0" applyFont="1" applyBorder="1" applyAlignment="1" applyProtection="1">
      <alignment horizontal="center" vertical="top" shrinkToFit="1"/>
      <protection hidden="1"/>
    </xf>
    <xf numFmtId="0" fontId="6" fillId="0" borderId="81" xfId="0" applyFont="1" applyBorder="1" applyAlignment="1">
      <alignment vertical="top"/>
    </xf>
    <xf numFmtId="0" fontId="6" fillId="0" borderId="89" xfId="0" applyFont="1" applyBorder="1" applyAlignment="1" applyProtection="1">
      <alignment horizontal="center" vertical="top" shrinkToFit="1"/>
      <protection hidden="1"/>
    </xf>
    <xf numFmtId="0" fontId="6" fillId="0" borderId="90" xfId="0" applyFont="1" applyBorder="1" applyAlignment="1">
      <alignment vertical="top"/>
    </xf>
    <xf numFmtId="0" fontId="6" fillId="0" borderId="81" xfId="0" applyFont="1" applyBorder="1" applyAlignment="1" applyProtection="1">
      <alignment horizontal="center" vertical="top" shrinkToFit="1"/>
      <protection hidden="1"/>
    </xf>
    <xf numFmtId="0" fontId="6" fillId="0" borderId="82" xfId="0" applyFont="1" applyBorder="1"/>
    <xf numFmtId="0" fontId="4" fillId="0" borderId="91" xfId="0" applyFont="1" applyBorder="1" applyAlignment="1" applyProtection="1">
      <alignment horizontal="left" vertical="center" indent="1" shrinkToFit="1"/>
      <protection hidden="1"/>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8" xfId="0" applyFont="1" applyBorder="1" applyAlignment="1">
      <alignment horizontal="center" vertical="center"/>
    </xf>
    <xf numFmtId="0" fontId="4" fillId="0" borderId="75" xfId="0" applyFont="1" applyBorder="1" applyAlignment="1" applyProtection="1">
      <alignment horizontal="right" vertical="top"/>
      <protection hidden="1"/>
    </xf>
    <xf numFmtId="0" fontId="4" fillId="0" borderId="40" xfId="0" applyFont="1" applyBorder="1"/>
    <xf numFmtId="0" fontId="4" fillId="0" borderId="97" xfId="0" applyFont="1" applyBorder="1" applyAlignment="1" applyProtection="1">
      <alignment horizontal="right" vertical="top"/>
      <protection hidden="1"/>
    </xf>
    <xf numFmtId="0" fontId="23" fillId="0" borderId="3" xfId="0" applyFont="1" applyBorder="1" applyAlignment="1">
      <alignment vertical="center"/>
    </xf>
    <xf numFmtId="0" fontId="4" fillId="0" borderId="3" xfId="0" applyFont="1" applyBorder="1"/>
    <xf numFmtId="0" fontId="7" fillId="0" borderId="3" xfId="0" applyFont="1" applyBorder="1" applyAlignment="1" applyProtection="1">
      <alignment horizontal="left" vertical="top" textRotation="255"/>
      <protection hidden="1"/>
    </xf>
    <xf numFmtId="0" fontId="4" fillId="0" borderId="4" xfId="0" applyFont="1" applyBorder="1"/>
    <xf numFmtId="0" fontId="52" fillId="0" borderId="0" xfId="0" applyFont="1" applyProtection="1">
      <protection hidden="1"/>
    </xf>
    <xf numFmtId="38" fontId="4" fillId="0" borderId="75" xfId="2" applyFont="1" applyFill="1" applyBorder="1" applyAlignment="1" applyProtection="1">
      <alignment horizontal="right" vertical="center" shrinkToFit="1"/>
      <protection hidden="1"/>
    </xf>
    <xf numFmtId="0" fontId="51" fillId="0" borderId="0" xfId="0" applyFont="1" applyAlignment="1">
      <alignment horizontal="right" vertical="top" textRotation="255"/>
    </xf>
    <xf numFmtId="0" fontId="48" fillId="0" borderId="0" xfId="0" applyFont="1" applyProtection="1">
      <protection hidden="1"/>
    </xf>
    <xf numFmtId="0" fontId="54" fillId="0" borderId="0" xfId="0" applyFont="1" applyAlignment="1">
      <alignment horizontal="right" vertical="top" textRotation="255"/>
    </xf>
    <xf numFmtId="0" fontId="22" fillId="0" borderId="0" xfId="0" applyFont="1" applyAlignment="1">
      <alignment horizontal="right" vertical="top" textRotation="255"/>
    </xf>
    <xf numFmtId="0" fontId="32" fillId="0" borderId="0" xfId="0" applyFont="1" applyAlignment="1">
      <alignment horizontal="right" vertical="top" textRotation="255"/>
    </xf>
    <xf numFmtId="0" fontId="8" fillId="0" borderId="123" xfId="0" applyFont="1" applyBorder="1" applyAlignment="1">
      <alignment horizontal="center" vertical="center" shrinkToFit="1"/>
    </xf>
    <xf numFmtId="9" fontId="8" fillId="0" borderId="123" xfId="1" applyFont="1" applyBorder="1" applyAlignment="1">
      <alignment horizontal="distributed" vertical="center"/>
    </xf>
    <xf numFmtId="38" fontId="8" fillId="5" borderId="123" xfId="0" applyNumberFormat="1" applyFont="1" applyFill="1" applyBorder="1" applyAlignment="1">
      <alignment vertical="center"/>
    </xf>
    <xf numFmtId="0" fontId="50" fillId="0" borderId="0" xfId="0" applyFont="1" applyAlignment="1">
      <alignment horizontal="right" vertical="center" shrinkToFit="1"/>
    </xf>
    <xf numFmtId="0" fontId="4" fillId="0" borderId="0" xfId="0" applyFont="1" applyAlignment="1">
      <alignment vertical="top" textRotation="255"/>
    </xf>
    <xf numFmtId="0" fontId="4" fillId="0" borderId="0" xfId="0" applyFont="1" applyAlignment="1" applyProtection="1">
      <alignment horizontal="left"/>
      <protection hidden="1"/>
    </xf>
    <xf numFmtId="0" fontId="4" fillId="0" borderId="0" xfId="0" applyFont="1" applyAlignment="1" applyProtection="1">
      <alignment horizontal="centerContinuous"/>
      <protection hidden="1"/>
    </xf>
    <xf numFmtId="0" fontId="20" fillId="0" borderId="0" xfId="0" applyFont="1" applyProtection="1">
      <protection hidden="1"/>
    </xf>
    <xf numFmtId="0" fontId="57" fillId="0" borderId="0" xfId="0" applyFont="1" applyProtection="1">
      <protection hidden="1"/>
    </xf>
    <xf numFmtId="0" fontId="58" fillId="0" borderId="0" xfId="0" applyFont="1" applyAlignment="1" applyProtection="1">
      <alignment horizontal="right" textRotation="255" shrinkToFit="1"/>
      <protection hidden="1"/>
    </xf>
    <xf numFmtId="0" fontId="38" fillId="0" borderId="0" xfId="0" applyFont="1"/>
    <xf numFmtId="0" fontId="59" fillId="0" borderId="0" xfId="0" applyFont="1" applyAlignment="1" applyProtection="1">
      <alignment horizontal="right" textRotation="255" shrinkToFit="1"/>
      <protection hidden="1"/>
    </xf>
    <xf numFmtId="0" fontId="59" fillId="0" borderId="0" xfId="0" applyFont="1" applyAlignment="1">
      <alignment horizontal="right" vertical="center" shrinkToFit="1"/>
    </xf>
    <xf numFmtId="0" fontId="38" fillId="0" borderId="0" xfId="0" applyFont="1" applyAlignment="1" applyProtection="1">
      <alignment vertical="center"/>
      <protection hidden="1"/>
    </xf>
    <xf numFmtId="0" fontId="38" fillId="0" borderId="0" xfId="0" applyFont="1" applyAlignment="1" applyProtection="1">
      <alignment horizontal="right" vertical="top" textRotation="255" shrinkToFit="1"/>
      <protection hidden="1"/>
    </xf>
    <xf numFmtId="38" fontId="8" fillId="5" borderId="123" xfId="2" applyFont="1" applyFill="1" applyBorder="1" applyAlignment="1">
      <alignment vertical="center"/>
    </xf>
    <xf numFmtId="0" fontId="8" fillId="0" borderId="123" xfId="0" applyFont="1" applyBorder="1" applyAlignment="1">
      <alignment horizontal="distributed" vertical="center"/>
    </xf>
    <xf numFmtId="9" fontId="8" fillId="0" borderId="4" xfId="1" applyFont="1" applyBorder="1" applyAlignment="1">
      <alignment horizontal="distributed" vertical="center"/>
    </xf>
    <xf numFmtId="38" fontId="8" fillId="2" borderId="1" xfId="2" applyFont="1" applyFill="1" applyBorder="1" applyAlignment="1">
      <alignment vertical="center"/>
    </xf>
    <xf numFmtId="9" fontId="8" fillId="0" borderId="1" xfId="1" applyFont="1" applyBorder="1" applyAlignment="1">
      <alignment horizontal="distributed" vertical="center"/>
    </xf>
    <xf numFmtId="38" fontId="8" fillId="5" borderId="1" xfId="2" applyFont="1" applyFill="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distributed" vertical="center"/>
    </xf>
    <xf numFmtId="0" fontId="8" fillId="3" borderId="1" xfId="0" applyFont="1" applyFill="1" applyBorder="1" applyAlignment="1">
      <alignment horizontal="center" vertical="center"/>
    </xf>
    <xf numFmtId="0" fontId="8" fillId="0" borderId="2" xfId="0" applyFont="1" applyBorder="1" applyAlignment="1">
      <alignment vertical="center"/>
    </xf>
    <xf numFmtId="0" fontId="8" fillId="0" borderId="4" xfId="0" applyFont="1" applyBorder="1" applyAlignment="1">
      <alignment vertical="center"/>
    </xf>
    <xf numFmtId="0" fontId="8" fillId="13" borderId="1" xfId="0" applyFont="1" applyFill="1" applyBorder="1" applyAlignment="1">
      <alignment horizontal="center" vertical="center"/>
    </xf>
    <xf numFmtId="38" fontId="8" fillId="5" borderId="4" xfId="2" applyFont="1" applyFill="1" applyBorder="1" applyAlignment="1">
      <alignment vertical="center"/>
    </xf>
    <xf numFmtId="0" fontId="8" fillId="0" borderId="2" xfId="0" applyFont="1" applyBorder="1" applyAlignment="1">
      <alignment horizontal="distributed" vertical="center" justifyLastLine="1"/>
    </xf>
    <xf numFmtId="38" fontId="8" fillId="6" borderId="1" xfId="2" applyFont="1" applyFill="1" applyBorder="1" applyAlignment="1">
      <alignment horizontal="distributed" vertical="center"/>
    </xf>
    <xf numFmtId="0" fontId="8" fillId="2" borderId="2" xfId="0" applyFont="1" applyFill="1" applyBorder="1" applyAlignment="1">
      <alignment vertical="center"/>
    </xf>
    <xf numFmtId="38" fontId="8" fillId="0" borderId="1" xfId="2" applyFont="1" applyBorder="1" applyAlignment="1">
      <alignment horizontal="distributed" vertical="center"/>
    </xf>
    <xf numFmtId="188" fontId="8" fillId="2" borderId="1" xfId="0" applyNumberFormat="1" applyFont="1" applyFill="1" applyBorder="1" applyAlignment="1">
      <alignment horizontal="center" vertical="center"/>
    </xf>
    <xf numFmtId="38" fontId="8" fillId="0" borderId="10" xfId="2" applyFont="1" applyFill="1" applyBorder="1" applyAlignment="1">
      <alignment vertical="center"/>
    </xf>
    <xf numFmtId="0" fontId="23" fillId="0" borderId="54" xfId="0" applyFont="1" applyBorder="1" applyAlignment="1" applyProtection="1">
      <alignment vertical="top"/>
      <protection hidden="1"/>
    </xf>
    <xf numFmtId="0" fontId="23" fillId="0" borderId="55" xfId="0" applyFont="1" applyBorder="1" applyAlignment="1" applyProtection="1">
      <alignment vertical="top"/>
      <protection hidden="1"/>
    </xf>
    <xf numFmtId="0" fontId="4" fillId="0" borderId="61" xfId="0" applyFont="1" applyBorder="1" applyAlignment="1" applyProtection="1">
      <alignment horizontal="right" vertical="top"/>
      <protection hidden="1"/>
    </xf>
    <xf numFmtId="38" fontId="4" fillId="0" borderId="97" xfId="2" applyFont="1" applyBorder="1" applyAlignment="1" applyProtection="1">
      <alignment horizontal="center" vertical="center" wrapText="1" shrinkToFit="1"/>
      <protection hidden="1"/>
    </xf>
    <xf numFmtId="0" fontId="9" fillId="0" borderId="0" xfId="0" applyFont="1" applyAlignment="1">
      <alignment horizontal="center" vertical="center" shrinkToFit="1"/>
    </xf>
    <xf numFmtId="0" fontId="8" fillId="6" borderId="30" xfId="0" applyFont="1" applyFill="1" applyBorder="1" applyAlignment="1">
      <alignment horizontal="center" vertical="center"/>
    </xf>
    <xf numFmtId="0" fontId="8" fillId="0" borderId="92" xfId="0" applyFont="1" applyBorder="1" applyAlignment="1">
      <alignment horizontal="distributed" vertical="center" justifyLastLine="1"/>
    </xf>
    <xf numFmtId="0" fontId="8" fillId="0" borderId="92" xfId="0" applyFont="1" applyBorder="1" applyAlignment="1">
      <alignment horizontal="center" vertical="center" shrinkToFit="1"/>
    </xf>
    <xf numFmtId="0" fontId="47" fillId="0" borderId="0" xfId="0" applyFont="1" applyAlignment="1">
      <alignment vertical="center"/>
    </xf>
    <xf numFmtId="0" fontId="8" fillId="0" borderId="0" xfId="0" applyFont="1" applyAlignment="1">
      <alignment vertical="center" shrinkToFit="1"/>
    </xf>
    <xf numFmtId="0" fontId="8" fillId="2" borderId="126" xfId="0" applyFont="1" applyFill="1" applyBorder="1" applyAlignment="1">
      <alignment horizontal="distributed" vertical="center" justifyLastLine="1"/>
    </xf>
    <xf numFmtId="0" fontId="8" fillId="2" borderId="129" xfId="0" applyFont="1" applyFill="1" applyBorder="1" applyAlignment="1">
      <alignment horizontal="distributed" vertical="center" justifyLastLine="1"/>
    </xf>
    <xf numFmtId="57" fontId="8" fillId="2" borderId="130" xfId="0" applyNumberFormat="1" applyFont="1" applyFill="1" applyBorder="1" applyAlignment="1">
      <alignment horizontal="center" vertical="center"/>
    </xf>
    <xf numFmtId="38" fontId="8" fillId="2" borderId="130" xfId="2" applyFont="1" applyFill="1" applyBorder="1" applyAlignment="1">
      <alignment vertical="center"/>
    </xf>
    <xf numFmtId="0" fontId="32" fillId="0" borderId="0" xfId="0" applyFont="1" applyAlignment="1">
      <alignment vertical="center"/>
    </xf>
    <xf numFmtId="0" fontId="60" fillId="0" borderId="2" xfId="0" applyFont="1" applyBorder="1" applyAlignment="1">
      <alignment horizontal="distributed" vertical="center"/>
    </xf>
    <xf numFmtId="0" fontId="8" fillId="0" borderId="0" xfId="0" quotePrefix="1" applyFont="1" applyAlignment="1">
      <alignment vertical="center"/>
    </xf>
    <xf numFmtId="38" fontId="8" fillId="0" borderId="130" xfId="2" applyFont="1" applyFill="1" applyBorder="1" applyAlignment="1">
      <alignment vertical="center"/>
    </xf>
    <xf numFmtId="38" fontId="13" fillId="0" borderId="130" xfId="2" applyFont="1" applyFill="1" applyBorder="1" applyAlignment="1">
      <alignment vertical="center"/>
    </xf>
    <xf numFmtId="9" fontId="13" fillId="0" borderId="130" xfId="1" applyFont="1" applyFill="1" applyBorder="1" applyAlignment="1">
      <alignment vertical="center"/>
    </xf>
    <xf numFmtId="38" fontId="13" fillId="0" borderId="130" xfId="2" applyFont="1" applyBorder="1" applyAlignment="1">
      <alignment vertical="center"/>
    </xf>
    <xf numFmtId="0" fontId="8" fillId="0" borderId="2" xfId="0" applyFont="1" applyBorder="1" applyAlignment="1">
      <alignment horizontal="distributed" vertical="center"/>
    </xf>
    <xf numFmtId="38" fontId="8" fillId="0" borderId="1" xfId="2" applyFont="1" applyFill="1" applyBorder="1" applyAlignment="1">
      <alignment horizontal="distributed" vertical="center"/>
    </xf>
    <xf numFmtId="38" fontId="8" fillId="0" borderId="1" xfId="2" applyFont="1" applyFill="1" applyBorder="1" applyAlignment="1">
      <alignment horizontal="center" vertical="center"/>
    </xf>
    <xf numFmtId="0" fontId="4" fillId="0" borderId="0" xfId="0" applyFont="1" applyAlignment="1" applyProtection="1">
      <alignment horizontal="right" vertical="top" textRotation="255"/>
      <protection hidden="1"/>
    </xf>
    <xf numFmtId="0" fontId="4" fillId="0" borderId="0" xfId="0" applyFont="1" applyAlignment="1" applyProtection="1">
      <alignment horizontal="right" vertical="top"/>
      <protection hidden="1"/>
    </xf>
    <xf numFmtId="57" fontId="45" fillId="19" borderId="0" xfId="0" applyNumberFormat="1" applyFont="1" applyFill="1" applyAlignment="1">
      <alignment vertical="center"/>
    </xf>
    <xf numFmtId="0" fontId="23" fillId="0" borderId="0" xfId="0" applyFont="1" applyAlignment="1">
      <alignment vertical="center"/>
    </xf>
    <xf numFmtId="0" fontId="6" fillId="0" borderId="0" xfId="0" applyFont="1" applyAlignment="1" applyProtection="1">
      <alignment vertical="center"/>
      <protection hidden="1"/>
    </xf>
    <xf numFmtId="0" fontId="4" fillId="0" borderId="140" xfId="0" applyFont="1" applyBorder="1"/>
    <xf numFmtId="0" fontId="23" fillId="0" borderId="139" xfId="0" applyFont="1" applyBorder="1" applyAlignment="1" applyProtection="1">
      <alignment vertical="top"/>
      <protection hidden="1"/>
    </xf>
    <xf numFmtId="0" fontId="23" fillId="0" borderId="140" xfId="0" applyFont="1" applyBorder="1" applyAlignment="1" applyProtection="1">
      <alignment vertical="top"/>
      <protection hidden="1"/>
    </xf>
    <xf numFmtId="0" fontId="23" fillId="0" borderId="140" xfId="0" applyFont="1" applyBorder="1" applyAlignment="1" applyProtection="1">
      <alignment horizontal="center" vertical="center"/>
      <protection hidden="1"/>
    </xf>
    <xf numFmtId="0" fontId="23" fillId="0" borderId="141" xfId="0" applyFont="1" applyBorder="1" applyAlignment="1" applyProtection="1">
      <alignment horizontal="center" vertical="center"/>
      <protection hidden="1"/>
    </xf>
    <xf numFmtId="0" fontId="7" fillId="0" borderId="139" xfId="0" applyFont="1" applyBorder="1" applyAlignment="1" applyProtection="1">
      <alignment horizontal="left" vertical="top"/>
      <protection hidden="1"/>
    </xf>
    <xf numFmtId="0" fontId="7" fillId="0" borderId="140" xfId="0" applyFont="1" applyBorder="1" applyAlignment="1" applyProtection="1">
      <alignment horizontal="left" vertical="top"/>
      <protection hidden="1"/>
    </xf>
    <xf numFmtId="0" fontId="7" fillId="0" borderId="141" xfId="0" applyFont="1" applyBorder="1" applyAlignment="1" applyProtection="1">
      <alignment horizontal="left" vertical="top"/>
      <protection hidden="1"/>
    </xf>
    <xf numFmtId="0" fontId="4" fillId="0" borderId="142" xfId="0" applyFont="1" applyBorder="1" applyAlignment="1" applyProtection="1">
      <alignment horizontal="left" vertical="top"/>
      <protection hidden="1"/>
    </xf>
    <xf numFmtId="0" fontId="4" fillId="0" borderId="143" xfId="0" applyFont="1" applyBorder="1" applyAlignment="1" applyProtection="1">
      <alignment horizontal="left" vertical="top"/>
      <protection hidden="1"/>
    </xf>
    <xf numFmtId="0" fontId="4" fillId="0" borderId="154" xfId="0" applyFont="1" applyBorder="1"/>
    <xf numFmtId="38" fontId="4" fillId="0" borderId="154" xfId="2" applyFont="1" applyFill="1" applyBorder="1" applyAlignment="1" applyProtection="1">
      <alignment horizontal="right" vertical="center" shrinkToFit="1"/>
      <protection hidden="1"/>
    </xf>
    <xf numFmtId="0" fontId="4" fillId="0" borderId="186" xfId="0" applyFont="1" applyBorder="1"/>
    <xf numFmtId="0" fontId="4" fillId="0" borderId="188" xfId="0" applyFont="1" applyBorder="1"/>
    <xf numFmtId="0" fontId="16" fillId="0" borderId="188" xfId="0" applyFont="1" applyBorder="1" applyAlignment="1" applyProtection="1">
      <alignment horizontal="center" vertical="distributed" textRotation="255" justifyLastLine="1"/>
      <protection hidden="1"/>
    </xf>
    <xf numFmtId="0" fontId="4" fillId="0" borderId="189" xfId="0" applyFont="1" applyBorder="1"/>
    <xf numFmtId="0" fontId="64" fillId="0" borderId="0" xfId="0" applyFont="1" applyAlignment="1">
      <alignment vertical="center"/>
    </xf>
    <xf numFmtId="0" fontId="8" fillId="0" borderId="0" xfId="0" applyFont="1" applyAlignment="1">
      <alignment vertical="center" wrapText="1"/>
    </xf>
    <xf numFmtId="191" fontId="8" fillId="3" borderId="7" xfId="0" applyNumberFormat="1" applyFont="1" applyFill="1" applyBorder="1" applyAlignment="1">
      <alignment horizontal="center" vertical="center" shrinkToFit="1"/>
    </xf>
    <xf numFmtId="182" fontId="8" fillId="16" borderId="1" xfId="0" applyNumberFormat="1" applyFont="1" applyFill="1" applyBorder="1" applyAlignment="1">
      <alignment horizontal="right" vertical="center"/>
    </xf>
    <xf numFmtId="38" fontId="9" fillId="0" borderId="19" xfId="2" applyFont="1" applyBorder="1" applyAlignment="1">
      <alignment horizontal="distributed" vertical="center"/>
    </xf>
    <xf numFmtId="38" fontId="8" fillId="20" borderId="4" xfId="2" applyFont="1" applyFill="1" applyBorder="1" applyAlignment="1">
      <alignment vertical="center"/>
    </xf>
    <xf numFmtId="0" fontId="8" fillId="0" borderId="17" xfId="0" applyFont="1" applyBorder="1" applyAlignment="1">
      <alignment horizontal="distributed" vertical="center" shrinkToFit="1"/>
    </xf>
    <xf numFmtId="192" fontId="9" fillId="0" borderId="7" xfId="0" applyNumberFormat="1" applyFont="1" applyBorder="1" applyAlignment="1">
      <alignment horizontal="center" vertical="center" shrinkToFit="1"/>
    </xf>
    <xf numFmtId="193" fontId="9" fillId="0" borderId="7" xfId="0" applyNumberFormat="1" applyFont="1" applyBorder="1" applyAlignment="1">
      <alignment horizontal="center" vertical="center" shrinkToFit="1"/>
    </xf>
    <xf numFmtId="38" fontId="8" fillId="0" borderId="0" xfId="2" applyFont="1" applyFill="1" applyBorder="1" applyAlignment="1">
      <alignment vertical="center"/>
    </xf>
    <xf numFmtId="38" fontId="8" fillId="15" borderId="176" xfId="2" applyFont="1" applyFill="1" applyBorder="1" applyAlignment="1">
      <alignment vertical="center"/>
    </xf>
    <xf numFmtId="38" fontId="8" fillId="15" borderId="1" xfId="2" applyFont="1" applyFill="1" applyBorder="1" applyAlignment="1">
      <alignment vertical="center"/>
    </xf>
    <xf numFmtId="38" fontId="8" fillId="15" borderId="0" xfId="2" applyFont="1" applyFill="1" applyAlignment="1">
      <alignment vertical="center"/>
    </xf>
    <xf numFmtId="38" fontId="8" fillId="15" borderId="1" xfId="2" applyFont="1" applyFill="1" applyBorder="1" applyAlignment="1">
      <alignment horizontal="center" vertical="center"/>
    </xf>
    <xf numFmtId="38" fontId="8" fillId="15" borderId="176" xfId="2" applyFont="1" applyFill="1" applyBorder="1" applyAlignment="1">
      <alignment horizontal="center" vertical="center"/>
    </xf>
    <xf numFmtId="9" fontId="8" fillId="15" borderId="1" xfId="1" applyFont="1" applyFill="1" applyBorder="1" applyAlignment="1">
      <alignment vertical="center"/>
    </xf>
    <xf numFmtId="0" fontId="8" fillId="0" borderId="176" xfId="0" applyFont="1" applyBorder="1" applyAlignment="1">
      <alignment horizontal="center" vertical="center"/>
    </xf>
    <xf numFmtId="0" fontId="8" fillId="3" borderId="9" xfId="0" applyFont="1" applyFill="1" applyBorder="1" applyAlignment="1">
      <alignment horizontal="center" vertical="center" shrinkToFit="1"/>
    </xf>
    <xf numFmtId="0" fontId="8" fillId="0" borderId="197" xfId="0" applyFont="1" applyBorder="1" applyAlignment="1">
      <alignment horizontal="center" vertical="center"/>
    </xf>
    <xf numFmtId="0" fontId="38" fillId="22" borderId="0" xfId="0" quotePrefix="1" applyFont="1" applyFill="1" applyAlignment="1">
      <alignment horizontal="right" vertical="center"/>
    </xf>
    <xf numFmtId="38" fontId="45" fillId="22" borderId="1" xfId="2" applyFont="1" applyFill="1" applyBorder="1" applyAlignment="1">
      <alignment horizontal="distributed" vertical="center"/>
    </xf>
    <xf numFmtId="38" fontId="8" fillId="22" borderId="6" xfId="0" applyNumberFormat="1" applyFont="1" applyFill="1" applyBorder="1" applyAlignment="1">
      <alignment vertical="center"/>
    </xf>
    <xf numFmtId="38" fontId="45" fillId="22" borderId="1" xfId="2" applyFont="1" applyFill="1" applyBorder="1" applyAlignment="1">
      <alignment horizontal="distributed" vertical="center" wrapText="1"/>
    </xf>
    <xf numFmtId="38" fontId="8" fillId="22" borderId="0" xfId="2" applyFont="1" applyFill="1" applyAlignment="1">
      <alignment vertical="center"/>
    </xf>
    <xf numFmtId="0" fontId="8" fillId="22" borderId="0" xfId="0" applyFont="1" applyFill="1" applyAlignment="1">
      <alignment vertical="center"/>
    </xf>
    <xf numFmtId="182" fontId="8" fillId="22" borderId="176" xfId="0" applyNumberFormat="1" applyFont="1" applyFill="1" applyBorder="1" applyAlignment="1">
      <alignment horizontal="right" vertical="center"/>
    </xf>
    <xf numFmtId="38" fontId="8" fillId="22" borderId="176" xfId="2" applyFont="1" applyFill="1" applyBorder="1" applyAlignment="1">
      <alignment vertical="center"/>
    </xf>
    <xf numFmtId="0" fontId="8" fillId="22" borderId="186" xfId="0" applyFont="1" applyFill="1" applyBorder="1" applyAlignment="1">
      <alignment vertical="center"/>
    </xf>
    <xf numFmtId="0" fontId="8" fillId="22" borderId="188" xfId="0" applyFont="1" applyFill="1" applyBorder="1" applyAlignment="1">
      <alignment vertical="center"/>
    </xf>
    <xf numFmtId="0" fontId="8" fillId="22" borderId="189" xfId="0" applyFont="1" applyFill="1" applyBorder="1" applyAlignment="1">
      <alignment horizontal="distributed" vertical="center"/>
    </xf>
    <xf numFmtId="38" fontId="8" fillId="22" borderId="176" xfId="0" applyNumberFormat="1" applyFont="1" applyFill="1" applyBorder="1" applyAlignment="1">
      <alignment vertical="center"/>
    </xf>
    <xf numFmtId="0" fontId="65" fillId="22" borderId="0" xfId="0" applyFont="1" applyFill="1" applyAlignment="1">
      <alignment vertical="center"/>
    </xf>
    <xf numFmtId="0" fontId="65" fillId="22" borderId="0" xfId="0" applyFont="1" applyFill="1" applyAlignment="1">
      <alignment vertical="top" wrapText="1"/>
    </xf>
    <xf numFmtId="0" fontId="8" fillId="22" borderId="0" xfId="0" applyFont="1" applyFill="1" applyAlignment="1">
      <alignment horizontal="right" vertical="center"/>
    </xf>
    <xf numFmtId="38" fontId="8" fillId="9" borderId="130" xfId="2" applyFont="1" applyFill="1" applyBorder="1" applyAlignment="1">
      <alignment vertical="center"/>
    </xf>
    <xf numFmtId="0" fontId="45" fillId="0" borderId="145" xfId="0" applyFont="1" applyBorder="1" applyAlignment="1">
      <alignment horizontal="center" vertical="center" wrapText="1"/>
    </xf>
    <xf numFmtId="0" fontId="8" fillId="13" borderId="189" xfId="0" applyFont="1" applyFill="1" applyBorder="1" applyAlignment="1">
      <alignment horizontal="center" vertical="center"/>
    </xf>
    <xf numFmtId="38" fontId="8" fillId="22" borderId="0" xfId="2" applyFont="1" applyFill="1" applyBorder="1" applyAlignment="1">
      <alignment vertical="center"/>
    </xf>
    <xf numFmtId="38" fontId="8" fillId="22" borderId="0" xfId="0" applyNumberFormat="1" applyFont="1" applyFill="1" applyAlignment="1">
      <alignment vertical="center"/>
    </xf>
    <xf numFmtId="0" fontId="8" fillId="16" borderId="1" xfId="0" applyFont="1" applyFill="1" applyBorder="1" applyAlignment="1">
      <alignment horizontal="distributed" vertical="center"/>
    </xf>
    <xf numFmtId="0" fontId="8" fillId="0" borderId="0" xfId="0" applyFont="1" applyAlignment="1">
      <alignment horizontal="center" vertical="center" shrinkToFit="1"/>
    </xf>
    <xf numFmtId="9" fontId="8" fillId="0" borderId="0" xfId="1" applyFont="1" applyBorder="1" applyAlignment="1">
      <alignment horizontal="distributed" vertical="center"/>
    </xf>
    <xf numFmtId="38" fontId="8" fillId="2" borderId="176" xfId="2" applyFont="1" applyFill="1" applyBorder="1" applyAlignment="1">
      <alignment vertical="center"/>
    </xf>
    <xf numFmtId="41" fontId="8" fillId="13" borderId="176" xfId="2" applyNumberFormat="1" applyFont="1" applyFill="1" applyBorder="1" applyAlignment="1">
      <alignment horizontal="center" vertical="center"/>
    </xf>
    <xf numFmtId="38" fontId="8" fillId="21" borderId="130" xfId="2" applyFont="1" applyFill="1" applyBorder="1" applyAlignment="1">
      <alignment vertical="center"/>
    </xf>
    <xf numFmtId="0" fontId="4" fillId="0" borderId="153" xfId="0" applyFont="1" applyBorder="1" applyAlignment="1" applyProtection="1">
      <alignment horizontal="right" vertical="top"/>
      <protection hidden="1"/>
    </xf>
    <xf numFmtId="0" fontId="22" fillId="0" borderId="0" xfId="0" applyFont="1" applyAlignment="1" applyProtection="1">
      <alignment horizontal="center" vertical="top" shrinkToFit="1"/>
      <protection hidden="1"/>
    </xf>
    <xf numFmtId="0" fontId="22" fillId="0" borderId="156" xfId="0" applyFont="1" applyBorder="1" applyAlignment="1" applyProtection="1">
      <alignment horizontal="center" vertical="top" shrinkToFit="1"/>
      <protection hidden="1"/>
    </xf>
    <xf numFmtId="0" fontId="4" fillId="0" borderId="197" xfId="0" applyFont="1" applyBorder="1" applyAlignment="1" applyProtection="1">
      <alignment horizontal="right" vertical="top"/>
      <protection hidden="1"/>
    </xf>
    <xf numFmtId="41" fontId="8" fillId="0" borderId="0" xfId="0" applyNumberFormat="1" applyFont="1" applyAlignment="1">
      <alignment vertical="center"/>
    </xf>
    <xf numFmtId="41" fontId="8" fillId="0" borderId="65" xfId="0" applyNumberFormat="1" applyFont="1" applyBorder="1" applyAlignment="1">
      <alignment vertical="center"/>
    </xf>
    <xf numFmtId="41" fontId="8" fillId="0" borderId="0" xfId="0" applyNumberFormat="1" applyFont="1" applyAlignment="1">
      <alignment vertical="center" shrinkToFit="1"/>
    </xf>
    <xf numFmtId="38" fontId="8" fillId="0" borderId="65" xfId="2" applyFont="1" applyBorder="1" applyAlignment="1">
      <alignment vertical="center"/>
    </xf>
    <xf numFmtId="0" fontId="23" fillId="0" borderId="14" xfId="0" applyFont="1" applyBorder="1" applyAlignment="1" applyProtection="1">
      <alignment horizontal="left" vertical="center"/>
      <protection hidden="1"/>
    </xf>
    <xf numFmtId="0" fontId="16" fillId="0" borderId="14" xfId="0" applyFont="1" applyBorder="1" applyAlignment="1" applyProtection="1">
      <alignment horizontal="left" vertical="center"/>
      <protection hidden="1"/>
    </xf>
    <xf numFmtId="0" fontId="6" fillId="0" borderId="0" xfId="0" applyFont="1" applyAlignment="1" applyProtection="1">
      <alignment horizontal="left" vertical="center" wrapText="1" indent="1"/>
      <protection hidden="1"/>
    </xf>
    <xf numFmtId="0" fontId="4" fillId="0" borderId="153" xfId="0" applyFont="1" applyBorder="1" applyAlignment="1" applyProtection="1">
      <alignment horizontal="left" vertical="top"/>
      <protection hidden="1"/>
    </xf>
    <xf numFmtId="0" fontId="4" fillId="0" borderId="154" xfId="0" applyFont="1" applyBorder="1" applyAlignment="1">
      <alignment horizontal="right"/>
    </xf>
    <xf numFmtId="0" fontId="4" fillId="0" borderId="156" xfId="0" applyFont="1" applyBorder="1"/>
    <xf numFmtId="38" fontId="4" fillId="0" borderId="0" xfId="2" applyFont="1" applyFill="1" applyBorder="1" applyAlignment="1" applyProtection="1">
      <alignment horizontal="center" vertical="center" wrapText="1" shrinkToFit="1"/>
      <protection hidden="1"/>
    </xf>
    <xf numFmtId="0" fontId="4" fillId="0" borderId="14" xfId="0" applyFont="1" applyBorder="1" applyAlignment="1" applyProtection="1">
      <alignment horizontal="center" vertical="top" shrinkToFit="1"/>
      <protection hidden="1"/>
    </xf>
    <xf numFmtId="0" fontId="4" fillId="0" borderId="0" xfId="0" applyFont="1" applyAlignment="1" applyProtection="1">
      <alignment horizontal="center" vertical="top" shrinkToFit="1"/>
      <protection hidden="1"/>
    </xf>
    <xf numFmtId="0" fontId="4" fillId="0" borderId="221" xfId="0" applyFont="1" applyBorder="1" applyAlignment="1" applyProtection="1">
      <alignment horizontal="center" vertical="top" shrinkToFit="1"/>
      <protection hidden="1"/>
    </xf>
    <xf numFmtId="0" fontId="4" fillId="0" borderId="195" xfId="0" applyFont="1" applyBorder="1" applyAlignment="1" applyProtection="1">
      <alignment horizontal="center" vertical="top" shrinkToFit="1"/>
      <protection hidden="1"/>
    </xf>
    <xf numFmtId="0" fontId="4" fillId="0" borderId="195" xfId="0" applyFont="1" applyBorder="1"/>
    <xf numFmtId="0" fontId="6" fillId="0" borderId="223" xfId="0" applyFont="1" applyBorder="1" applyAlignment="1" applyProtection="1">
      <alignment horizontal="center" vertical="top" shrinkToFit="1"/>
      <protection hidden="1"/>
    </xf>
    <xf numFmtId="0" fontId="4" fillId="0" borderId="224" xfId="0" applyFont="1" applyBorder="1" applyAlignment="1">
      <alignment vertical="top"/>
    </xf>
    <xf numFmtId="0" fontId="4" fillId="0" borderId="137" xfId="0" applyFont="1" applyBorder="1"/>
    <xf numFmtId="0" fontId="4" fillId="0" borderId="103" xfId="0" applyFont="1" applyBorder="1"/>
    <xf numFmtId="0" fontId="4" fillId="0" borderId="197" xfId="0" applyFont="1" applyBorder="1" applyAlignment="1" applyProtection="1">
      <alignment horizontal="center" vertical="top" shrinkToFit="1"/>
      <protection hidden="1"/>
    </xf>
    <xf numFmtId="0" fontId="4" fillId="0" borderId="225" xfId="0" applyFont="1" applyBorder="1" applyAlignment="1" applyProtection="1">
      <alignment horizontal="center" vertical="top" shrinkToFit="1"/>
      <protection hidden="1"/>
    </xf>
    <xf numFmtId="0" fontId="4" fillId="0" borderId="197" xfId="0" applyFont="1" applyBorder="1"/>
    <xf numFmtId="0" fontId="6" fillId="0" borderId="201" xfId="0" applyFont="1" applyBorder="1" applyAlignment="1">
      <alignment vertical="top"/>
    </xf>
    <xf numFmtId="0" fontId="6" fillId="0" borderId="226" xfId="0" applyFont="1" applyBorder="1" applyAlignment="1" applyProtection="1">
      <alignment horizontal="center" vertical="top" shrinkToFit="1"/>
      <protection hidden="1"/>
    </xf>
    <xf numFmtId="0" fontId="6" fillId="0" borderId="227" xfId="0" applyFont="1" applyBorder="1" applyAlignment="1">
      <alignment vertical="top"/>
    </xf>
    <xf numFmtId="0" fontId="6" fillId="0" borderId="201" xfId="0" applyFont="1" applyBorder="1" applyAlignment="1" applyProtection="1">
      <alignment horizontal="center" vertical="top" shrinkToFit="1"/>
      <protection hidden="1"/>
    </xf>
    <xf numFmtId="0" fontId="6" fillId="0" borderId="202" xfId="0" applyFont="1" applyBorder="1"/>
    <xf numFmtId="0" fontId="4" fillId="0" borderId="203" xfId="0" applyFont="1" applyBorder="1"/>
    <xf numFmtId="0" fontId="4" fillId="0" borderId="145" xfId="0" applyFont="1" applyBorder="1" applyAlignment="1" applyProtection="1">
      <alignment horizontal="left" vertical="center" indent="1" shrinkToFit="1"/>
      <protection hidden="1"/>
    </xf>
    <xf numFmtId="0" fontId="4" fillId="0" borderId="154" xfId="0" applyFont="1" applyBorder="1" applyAlignment="1" applyProtection="1">
      <alignment horizontal="center" vertical="top" shrinkToFit="1"/>
      <protection hidden="1"/>
    </xf>
    <xf numFmtId="0" fontId="32" fillId="0" borderId="91" xfId="0" applyFont="1" applyBorder="1" applyAlignment="1" applyProtection="1">
      <alignment horizontal="left" vertical="center" indent="1" shrinkToFit="1"/>
      <protection hidden="1"/>
    </xf>
    <xf numFmtId="0" fontId="32" fillId="0" borderId="93" xfId="0" applyFont="1" applyBorder="1" applyAlignment="1" applyProtection="1">
      <alignment horizontal="left" vertical="center" indent="1" shrinkToFit="1"/>
      <protection hidden="1"/>
    </xf>
    <xf numFmtId="0" fontId="32" fillId="0" borderId="0" xfId="0" applyFont="1" applyAlignment="1" applyProtection="1">
      <alignment horizontal="left" vertical="center" indent="1" shrinkToFit="1"/>
      <protection hidden="1"/>
    </xf>
    <xf numFmtId="0" fontId="4" fillId="0" borderId="173" xfId="0" applyFont="1" applyBorder="1" applyAlignment="1" applyProtection="1">
      <alignment horizontal="left" vertical="center" indent="1" shrinkToFit="1"/>
      <protection hidden="1"/>
    </xf>
    <xf numFmtId="0" fontId="4" fillId="0" borderId="174" xfId="0" applyFont="1" applyBorder="1" applyAlignment="1" applyProtection="1">
      <alignment horizontal="left" vertical="center" indent="1" shrinkToFit="1"/>
      <protection hidden="1"/>
    </xf>
    <xf numFmtId="0" fontId="4" fillId="0" borderId="175" xfId="0" applyFont="1" applyBorder="1" applyAlignment="1" applyProtection="1">
      <alignment horizontal="left" vertical="center" indent="1" shrinkToFit="1"/>
      <protection hidden="1"/>
    </xf>
    <xf numFmtId="0" fontId="4" fillId="0" borderId="138" xfId="0" applyFont="1" applyBorder="1" applyAlignment="1" applyProtection="1">
      <alignment horizontal="left" vertical="center" indent="1" shrinkToFit="1"/>
      <protection hidden="1"/>
    </xf>
    <xf numFmtId="0" fontId="4" fillId="0" borderId="14" xfId="0" applyFont="1" applyBorder="1" applyAlignment="1" applyProtection="1">
      <alignment horizontal="left" vertical="center" indent="1" shrinkToFit="1"/>
      <protection hidden="1"/>
    </xf>
    <xf numFmtId="0" fontId="4" fillId="0" borderId="93" xfId="0" applyFont="1" applyBorder="1" applyAlignment="1" applyProtection="1">
      <alignment horizontal="left" vertical="center" indent="1" shrinkToFit="1"/>
      <protection hidden="1"/>
    </xf>
    <xf numFmtId="0" fontId="4" fillId="0" borderId="145" xfId="0" applyFont="1" applyBorder="1" applyAlignment="1">
      <alignment horizontal="center" vertical="center"/>
    </xf>
    <xf numFmtId="0" fontId="56" fillId="0" borderId="0" xfId="0" applyFont="1" applyProtection="1">
      <protection hidden="1"/>
    </xf>
    <xf numFmtId="0" fontId="8" fillId="0" borderId="186" xfId="0" applyFont="1" applyBorder="1" applyAlignment="1">
      <alignment horizontal="center" vertical="center"/>
    </xf>
    <xf numFmtId="38" fontId="8" fillId="0" borderId="187" xfId="2" applyFont="1" applyFill="1" applyBorder="1" applyAlignment="1">
      <alignment vertical="center"/>
    </xf>
    <xf numFmtId="38" fontId="8" fillId="9" borderId="101" xfId="2" applyFont="1" applyFill="1" applyBorder="1" applyAlignment="1">
      <alignment vertical="center"/>
    </xf>
    <xf numFmtId="38" fontId="8" fillId="9" borderId="245" xfId="2" applyFont="1" applyFill="1" applyBorder="1" applyAlignment="1">
      <alignment vertical="center"/>
    </xf>
    <xf numFmtId="0" fontId="8" fillId="22" borderId="176" xfId="0" applyFont="1" applyFill="1" applyBorder="1" applyAlignment="1">
      <alignment horizontal="distributed" vertical="center"/>
    </xf>
    <xf numFmtId="0" fontId="8" fillId="0" borderId="1" xfId="0" applyFont="1" applyBorder="1" applyAlignment="1" applyProtection="1">
      <alignment horizontal="distributed" vertical="center"/>
      <protection hidden="1"/>
    </xf>
    <xf numFmtId="49" fontId="8" fillId="2"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0" borderId="6" xfId="0" applyFont="1" applyBorder="1" applyAlignment="1">
      <alignment vertical="center" textRotation="255"/>
    </xf>
    <xf numFmtId="0" fontId="8" fillId="0" borderId="16" xfId="0" applyFont="1" applyBorder="1" applyAlignment="1">
      <alignment vertical="center" textRotation="255"/>
    </xf>
    <xf numFmtId="0" fontId="8" fillId="0" borderId="7" xfId="0" applyFont="1" applyBorder="1" applyAlignment="1">
      <alignment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vertical="center"/>
    </xf>
    <xf numFmtId="38" fontId="8" fillId="5" borderId="1" xfId="0" applyNumberFormat="1" applyFont="1" applyFill="1" applyBorder="1" applyAlignment="1">
      <alignment vertical="center"/>
    </xf>
    <xf numFmtId="0" fontId="8" fillId="0" borderId="1" xfId="0" applyFont="1" applyBorder="1" applyAlignment="1">
      <alignment horizontal="distributed" vertical="center"/>
    </xf>
    <xf numFmtId="38" fontId="8" fillId="0" borderId="14" xfId="2" applyFont="1" applyBorder="1" applyAlignment="1">
      <alignment horizontal="distributed" vertical="center" wrapText="1"/>
    </xf>
    <xf numFmtId="38" fontId="8" fillId="0" borderId="0" xfId="2" applyFont="1" applyBorder="1" applyAlignment="1">
      <alignment horizontal="distributed" vertical="center" wrapText="1"/>
    </xf>
    <xf numFmtId="38" fontId="8" fillId="0" borderId="17" xfId="2" applyFont="1" applyBorder="1" applyAlignment="1">
      <alignment horizontal="distributed" vertical="center" wrapText="1"/>
    </xf>
    <xf numFmtId="38" fontId="8" fillId="0" borderId="20" xfId="2" applyFont="1" applyBorder="1" applyAlignment="1">
      <alignment horizontal="distributed" vertical="center" wrapText="1"/>
    </xf>
    <xf numFmtId="38" fontId="8" fillId="0" borderId="7" xfId="2" applyFont="1" applyBorder="1" applyAlignment="1">
      <alignment horizontal="distributed" vertical="center"/>
    </xf>
    <xf numFmtId="0" fontId="8" fillId="18" borderId="1" xfId="0" applyFont="1" applyFill="1" applyBorder="1" applyAlignment="1">
      <alignment horizontal="distributed" vertical="center"/>
    </xf>
    <xf numFmtId="38" fontId="8" fillId="0" borderId="1" xfId="2" applyFont="1" applyBorder="1" applyAlignment="1">
      <alignment horizontal="distributed" vertical="center"/>
    </xf>
    <xf numFmtId="0" fontId="8" fillId="0" borderId="2" xfId="0" applyFont="1" applyBorder="1" applyAlignment="1">
      <alignment horizontal="distributed" vertical="center" justifyLastLine="1"/>
    </xf>
    <xf numFmtId="0" fontId="8" fillId="0" borderId="4" xfId="0" applyFont="1" applyBorder="1" applyAlignment="1">
      <alignment horizontal="distributed" vertical="center" justifyLastLine="1"/>
    </xf>
    <xf numFmtId="38" fontId="8" fillId="0" borderId="2" xfId="2" applyFont="1" applyBorder="1" applyAlignment="1">
      <alignment horizontal="distributed" vertical="center"/>
    </xf>
    <xf numFmtId="0" fontId="45" fillId="0" borderId="123" xfId="0" applyFont="1" applyBorder="1" applyAlignment="1">
      <alignment horizontal="distributed" vertical="center"/>
    </xf>
    <xf numFmtId="0" fontId="8" fillId="0" borderId="123" xfId="0" applyFont="1" applyBorder="1" applyAlignment="1">
      <alignment horizontal="distributed" vertical="center"/>
    </xf>
    <xf numFmtId="0" fontId="45" fillId="0" borderId="186" xfId="0" applyFont="1" applyBorder="1" applyAlignment="1">
      <alignment horizontal="distributed" vertical="center" wrapText="1"/>
    </xf>
    <xf numFmtId="0" fontId="45" fillId="0" borderId="188" xfId="0" applyFont="1" applyBorder="1" applyAlignment="1">
      <alignment horizontal="distributed" vertical="center" wrapText="1"/>
    </xf>
    <xf numFmtId="38" fontId="8" fillId="0" borderId="2" xfId="2" applyFont="1" applyFill="1" applyBorder="1" applyAlignment="1">
      <alignment horizontal="distributed" vertical="center"/>
    </xf>
    <xf numFmtId="38" fontId="8" fillId="0" borderId="20" xfId="2" applyFont="1" applyFill="1" applyBorder="1" applyAlignment="1">
      <alignment horizontal="distributed" vertical="center"/>
    </xf>
    <xf numFmtId="38" fontId="8" fillId="0" borderId="23" xfId="2" applyFont="1" applyFill="1" applyBorder="1" applyAlignment="1">
      <alignment horizontal="distributed"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8" fillId="0" borderId="3" xfId="0" applyFont="1" applyBorder="1" applyAlignment="1">
      <alignment horizontal="distributed" vertical="center" justifyLastLine="1"/>
    </xf>
    <xf numFmtId="0" fontId="9" fillId="0" borderId="6" xfId="0" applyFont="1" applyBorder="1" applyAlignment="1">
      <alignment horizontal="distributed" vertical="center" wrapText="1"/>
    </xf>
    <xf numFmtId="0" fontId="9" fillId="0" borderId="16" xfId="0" applyFont="1" applyBorder="1" applyAlignment="1">
      <alignment horizontal="distributed" vertical="center" wrapText="1"/>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189" fontId="8" fillId="9" borderId="1" xfId="0" applyNumberFormat="1" applyFont="1" applyFill="1" applyBorder="1" applyAlignment="1">
      <alignment horizontal="center" vertical="center"/>
    </xf>
    <xf numFmtId="184" fontId="8" fillId="2" borderId="1" xfId="0" applyNumberFormat="1" applyFont="1" applyFill="1" applyBorder="1" applyAlignment="1">
      <alignment horizontal="center" vertical="center"/>
    </xf>
    <xf numFmtId="183" fontId="8" fillId="2" borderId="1" xfId="0" applyNumberFormat="1" applyFont="1" applyFill="1" applyBorder="1" applyAlignment="1">
      <alignment horizontal="center" vertical="center"/>
    </xf>
    <xf numFmtId="0" fontId="8" fillId="2" borderId="131" xfId="0" applyFont="1" applyFill="1" applyBorder="1" applyAlignment="1">
      <alignment vertical="center"/>
    </xf>
    <xf numFmtId="0" fontId="8" fillId="2" borderId="132" xfId="0" applyFont="1" applyFill="1" applyBorder="1" applyAlignment="1">
      <alignment vertical="center"/>
    </xf>
    <xf numFmtId="0" fontId="8" fillId="0" borderId="0" xfId="0" applyFont="1" applyAlignment="1">
      <alignment vertical="center"/>
    </xf>
    <xf numFmtId="9" fontId="8" fillId="0" borderId="1" xfId="1" applyFont="1" applyBorder="1" applyAlignment="1">
      <alignment horizontal="distributed" vertical="center"/>
    </xf>
    <xf numFmtId="0" fontId="8" fillId="0" borderId="1" xfId="0" applyFont="1" applyBorder="1" applyAlignment="1">
      <alignment horizontal="center" vertical="center"/>
    </xf>
    <xf numFmtId="0" fontId="8" fillId="13" borderId="133" xfId="0" applyFont="1" applyFill="1" applyBorder="1" applyAlignment="1">
      <alignment horizontal="center" vertical="center"/>
    </xf>
    <xf numFmtId="0" fontId="8" fillId="13" borderId="132" xfId="0" applyFont="1" applyFill="1" applyBorder="1" applyAlignment="1">
      <alignment horizontal="center" vertical="center"/>
    </xf>
    <xf numFmtId="0" fontId="8" fillId="0" borderId="124" xfId="0" applyFont="1" applyBorder="1" applyAlignment="1">
      <alignment horizontal="distributed" vertical="center" wrapText="1" shrinkToFit="1"/>
    </xf>
    <xf numFmtId="0" fontId="8" fillId="0" borderId="136" xfId="0" applyFont="1" applyBorder="1" applyAlignment="1">
      <alignment horizontal="distributed" vertical="center" shrinkToFit="1"/>
    </xf>
    <xf numFmtId="0" fontId="8" fillId="0" borderId="103" xfId="0" applyFont="1" applyBorder="1" applyAlignment="1">
      <alignment horizontal="distributed" vertical="center" shrinkToFit="1"/>
    </xf>
    <xf numFmtId="0" fontId="8" fillId="0" borderId="137" xfId="0" applyFont="1" applyBorder="1" applyAlignment="1">
      <alignment horizontal="distributed" vertical="center" shrinkToFit="1"/>
    </xf>
    <xf numFmtId="0" fontId="8" fillId="0" borderId="2" xfId="0" applyFont="1" applyBorder="1" applyAlignment="1" applyProtection="1">
      <alignment horizontal="distributed" vertical="center"/>
      <protection hidden="1"/>
    </xf>
    <xf numFmtId="0" fontId="8" fillId="0" borderId="4" xfId="0" applyFont="1" applyBorder="1" applyAlignment="1" applyProtection="1">
      <alignment horizontal="distributed" vertical="center"/>
      <protection hidden="1"/>
    </xf>
    <xf numFmtId="0" fontId="8" fillId="9" borderId="1" xfId="0" applyFont="1" applyFill="1" applyBorder="1" applyAlignment="1">
      <alignmen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1" xfId="0" applyFont="1" applyBorder="1" applyAlignment="1" applyProtection="1">
      <alignment vertical="center" textRotation="255"/>
      <protection hidden="1"/>
    </xf>
    <xf numFmtId="0" fontId="8" fillId="0" borderId="2" xfId="0" applyFont="1" applyBorder="1" applyAlignment="1" applyProtection="1">
      <alignment horizontal="distributed" vertical="center" shrinkToFit="1"/>
      <protection hidden="1"/>
    </xf>
    <xf numFmtId="0" fontId="8" fillId="0" borderId="3" xfId="0" applyFont="1" applyBorder="1" applyAlignment="1" applyProtection="1">
      <alignment horizontal="distributed" vertical="center" shrinkToFit="1"/>
      <protection hidden="1"/>
    </xf>
    <xf numFmtId="0" fontId="8" fillId="2" borderId="1" xfId="0" applyFont="1" applyFill="1" applyBorder="1" applyAlignment="1">
      <alignment vertical="center"/>
    </xf>
    <xf numFmtId="188" fontId="8" fillId="2" borderId="1" xfId="0" applyNumberFormat="1" applyFont="1" applyFill="1" applyBorder="1" applyAlignment="1">
      <alignment horizontal="center" vertical="center"/>
    </xf>
    <xf numFmtId="0" fontId="8" fillId="2" borderId="3" xfId="0" applyFont="1" applyFill="1" applyBorder="1" applyAlignment="1">
      <alignment horizontal="center" vertical="center"/>
    </xf>
    <xf numFmtId="0" fontId="46" fillId="0" borderId="1" xfId="0" applyFont="1" applyBorder="1" applyAlignment="1">
      <alignment horizontal="left" vertical="center" wrapText="1"/>
    </xf>
    <xf numFmtId="0" fontId="8" fillId="0" borderId="13" xfId="0" applyFont="1" applyBorder="1" applyAlignment="1">
      <alignment horizontal="center" vertical="center"/>
    </xf>
    <xf numFmtId="0" fontId="8" fillId="0" borderId="38" xfId="0" applyFont="1" applyBorder="1" applyAlignment="1">
      <alignment horizontal="center" vertical="center"/>
    </xf>
    <xf numFmtId="0" fontId="30" fillId="0" borderId="0" xfId="0" applyFont="1" applyAlignment="1">
      <alignment vertical="center" wrapText="1"/>
    </xf>
    <xf numFmtId="0" fontId="45" fillId="0" borderId="1" xfId="0" applyFont="1" applyBorder="1" applyAlignment="1">
      <alignment horizontal="distributed" vertical="center" wrapText="1"/>
    </xf>
    <xf numFmtId="38" fontId="8" fillId="0" borderId="10" xfId="2" applyFont="1" applyFill="1" applyBorder="1" applyAlignment="1">
      <alignment vertical="center"/>
    </xf>
    <xf numFmtId="38" fontId="8" fillId="9" borderId="2" xfId="2" applyFont="1" applyFill="1" applyBorder="1" applyAlignment="1">
      <alignment vertical="center"/>
    </xf>
    <xf numFmtId="38" fontId="8" fillId="9" borderId="4" xfId="2" applyFont="1" applyFill="1" applyBorder="1" applyAlignment="1">
      <alignment vertical="center"/>
    </xf>
    <xf numFmtId="38" fontId="8" fillId="0" borderId="1" xfId="2" applyFont="1" applyFill="1" applyBorder="1" applyAlignment="1">
      <alignment horizontal="center" vertical="center"/>
    </xf>
    <xf numFmtId="38" fontId="8" fillId="13" borderId="2" xfId="0" applyNumberFormat="1" applyFont="1" applyFill="1" applyBorder="1" applyAlignment="1">
      <alignment horizontal="center" vertical="center"/>
    </xf>
    <xf numFmtId="38" fontId="8" fillId="13" borderId="4" xfId="0" applyNumberFormat="1" applyFont="1" applyFill="1" applyBorder="1" applyAlignment="1">
      <alignment horizontal="center" vertical="center"/>
    </xf>
    <xf numFmtId="0" fontId="8" fillId="0" borderId="4" xfId="0" applyFont="1" applyBorder="1" applyAlignment="1">
      <alignment horizontal="distributed" vertical="center"/>
    </xf>
    <xf numFmtId="38" fontId="8" fillId="13" borderId="2" xfId="0" applyNumberFormat="1" applyFont="1" applyFill="1" applyBorder="1" applyAlignment="1">
      <alignment vertical="center"/>
    </xf>
    <xf numFmtId="38" fontId="8" fillId="13" borderId="4" xfId="0" applyNumberFormat="1" applyFont="1" applyFill="1" applyBorder="1" applyAlignment="1">
      <alignment vertical="center"/>
    </xf>
    <xf numFmtId="38" fontId="8" fillId="5" borderId="1" xfId="2" applyFont="1" applyFill="1" applyBorder="1" applyAlignment="1">
      <alignment vertical="center"/>
    </xf>
    <xf numFmtId="38" fontId="8" fillId="13" borderId="133" xfId="0" applyNumberFormat="1" applyFont="1" applyFill="1" applyBorder="1" applyAlignment="1">
      <alignment vertical="center"/>
    </xf>
    <xf numFmtId="38" fontId="8" fillId="13" borderId="132" xfId="0" applyNumberFormat="1" applyFont="1" applyFill="1" applyBorder="1" applyAlignment="1">
      <alignment vertical="center"/>
    </xf>
    <xf numFmtId="0" fontId="45" fillId="0" borderId="39" xfId="0" applyFont="1" applyBorder="1" applyAlignment="1">
      <alignment horizontal="left" vertical="center" wrapText="1"/>
    </xf>
    <xf numFmtId="0" fontId="45" fillId="0" borderId="11" xfId="0" applyFont="1" applyBorder="1" applyAlignment="1">
      <alignment horizontal="left" vertical="center" wrapText="1"/>
    </xf>
    <xf numFmtId="0" fontId="45" fillId="0" borderId="38" xfId="0" applyFont="1" applyBorder="1" applyAlignment="1">
      <alignment horizontal="left" vertical="center" wrapText="1"/>
    </xf>
    <xf numFmtId="0" fontId="45" fillId="0" borderId="18" xfId="0" applyFont="1" applyBorder="1" applyAlignment="1">
      <alignment horizontal="left" vertical="center" wrapText="1"/>
    </xf>
    <xf numFmtId="38" fontId="8" fillId="0" borderId="1" xfId="2" applyFont="1" applyBorder="1" applyAlignment="1">
      <alignment horizontal="distributed" vertical="center" wrapText="1"/>
    </xf>
    <xf numFmtId="0" fontId="8" fillId="0" borderId="134" xfId="0" applyFont="1" applyBorder="1" applyAlignment="1">
      <alignment horizontal="left" vertical="center"/>
    </xf>
    <xf numFmtId="0" fontId="8" fillId="0" borderId="128" xfId="0" applyFont="1" applyBorder="1" applyAlignment="1">
      <alignment horizontal="left" vertical="center"/>
    </xf>
    <xf numFmtId="0" fontId="8" fillId="0" borderId="136" xfId="0" applyFont="1" applyBorder="1" applyAlignment="1">
      <alignment horizontal="left" vertical="center"/>
    </xf>
    <xf numFmtId="0" fontId="8" fillId="3" borderId="176" xfId="0" applyFont="1" applyFill="1" applyBorder="1" applyAlignment="1">
      <alignment horizontal="center" vertical="center"/>
    </xf>
    <xf numFmtId="57" fontId="8" fillId="2" borderId="176" xfId="0" applyNumberFormat="1" applyFont="1" applyFill="1" applyBorder="1" applyAlignment="1">
      <alignment horizontal="center" vertical="center"/>
    </xf>
    <xf numFmtId="0" fontId="8" fillId="0" borderId="176" xfId="0" applyFont="1" applyBorder="1" applyAlignment="1">
      <alignment horizontal="distributed" vertical="center" wrapText="1"/>
    </xf>
    <xf numFmtId="38" fontId="8" fillId="0" borderId="3" xfId="2" applyFont="1" applyBorder="1" applyAlignment="1">
      <alignment horizontal="distributed" vertical="center"/>
    </xf>
    <xf numFmtId="0" fontId="32" fillId="0" borderId="176" xfId="0" applyFont="1" applyBorder="1" applyAlignment="1">
      <alignment horizontal="center" vertical="center" wrapText="1"/>
    </xf>
    <xf numFmtId="41" fontId="8" fillId="13" borderId="186" xfId="2" applyNumberFormat="1" applyFont="1" applyFill="1" applyBorder="1" applyAlignment="1">
      <alignment vertical="center"/>
    </xf>
    <xf numFmtId="41" fontId="8" fillId="13" borderId="189" xfId="2" applyNumberFormat="1" applyFont="1" applyFill="1" applyBorder="1" applyAlignment="1">
      <alignment vertical="center"/>
    </xf>
    <xf numFmtId="38" fontId="8" fillId="2" borderId="1" xfId="2" applyFont="1" applyFill="1" applyBorder="1" applyAlignment="1">
      <alignment vertical="center"/>
    </xf>
    <xf numFmtId="38" fontId="8" fillId="0" borderId="4" xfId="2" applyFont="1" applyBorder="1" applyAlignment="1">
      <alignment horizontal="distributed" vertical="center"/>
    </xf>
    <xf numFmtId="0" fontId="45" fillId="0" borderId="2" xfId="0" applyFont="1" applyBorder="1" applyAlignment="1">
      <alignment horizontal="distributed" vertical="center"/>
    </xf>
    <xf numFmtId="0" fontId="45" fillId="0" borderId="4" xfId="0" applyFont="1" applyBorder="1" applyAlignment="1">
      <alignment horizontal="distributed" vertical="center"/>
    </xf>
    <xf numFmtId="0" fontId="45" fillId="0" borderId="1" xfId="0" applyFont="1" applyBorder="1" applyAlignment="1">
      <alignment horizontal="right" vertical="center"/>
    </xf>
    <xf numFmtId="38" fontId="8" fillId="5" borderId="2" xfId="2" applyFont="1" applyFill="1" applyBorder="1" applyAlignment="1">
      <alignment vertical="center"/>
    </xf>
    <xf numFmtId="38" fontId="8" fillId="5" borderId="4" xfId="2" applyFont="1" applyFill="1" applyBorder="1" applyAlignment="1">
      <alignment vertical="center"/>
    </xf>
    <xf numFmtId="38" fontId="8" fillId="0" borderId="2" xfId="2" applyFont="1" applyBorder="1" applyAlignment="1">
      <alignment vertical="center" shrinkToFit="1"/>
    </xf>
    <xf numFmtId="38" fontId="8" fillId="0" borderId="3" xfId="2" applyFont="1" applyBorder="1" applyAlignment="1">
      <alignment vertical="center" shrinkToFit="1"/>
    </xf>
    <xf numFmtId="38" fontId="8" fillId="0" borderId="4" xfId="2" applyFont="1" applyBorder="1" applyAlignment="1">
      <alignment vertical="center" shrinkToFit="1"/>
    </xf>
    <xf numFmtId="9" fontId="8" fillId="0" borderId="134" xfId="1" applyFont="1" applyBorder="1" applyAlignment="1">
      <alignment vertical="center" shrinkToFit="1"/>
    </xf>
    <xf numFmtId="9" fontId="8" fillId="0" borderId="135" xfId="1" applyFont="1" applyBorder="1" applyAlignment="1">
      <alignment vertical="center" shrinkToFit="1"/>
    </xf>
    <xf numFmtId="9" fontId="8" fillId="0" borderId="136" xfId="1" applyFont="1" applyBorder="1" applyAlignment="1">
      <alignment vertical="center" shrinkToFit="1"/>
    </xf>
    <xf numFmtId="194" fontId="8" fillId="0" borderId="176" xfId="0" applyNumberFormat="1" applyFont="1" applyBorder="1" applyAlignment="1">
      <alignment horizontal="center" vertical="center" shrinkToFit="1"/>
    </xf>
    <xf numFmtId="38" fontId="8" fillId="0" borderId="38" xfId="2" applyFont="1" applyFill="1" applyBorder="1" applyAlignment="1">
      <alignment horizontal="distributed" vertical="center"/>
    </xf>
    <xf numFmtId="38" fontId="8" fillId="0" borderId="18" xfId="2" applyFont="1" applyFill="1" applyBorder="1" applyAlignment="1">
      <alignment horizontal="distributed" vertical="center"/>
    </xf>
    <xf numFmtId="41" fontId="8" fillId="13" borderId="176" xfId="2" applyNumberFormat="1" applyFont="1" applyFill="1" applyBorder="1" applyAlignment="1">
      <alignment vertical="center"/>
    </xf>
    <xf numFmtId="0" fontId="13" fillId="0" borderId="133" xfId="0" applyFont="1" applyBorder="1" applyAlignment="1">
      <alignment horizontal="center" vertical="center"/>
    </xf>
    <xf numFmtId="0" fontId="13" fillId="0" borderId="132" xfId="0" applyFont="1" applyBorder="1" applyAlignment="1">
      <alignment horizontal="center" vertical="center"/>
    </xf>
    <xf numFmtId="57" fontId="8" fillId="2" borderId="1" xfId="0" applyNumberFormat="1" applyFont="1" applyFill="1" applyBorder="1" applyAlignment="1">
      <alignment horizontal="center" vertical="center"/>
    </xf>
    <xf numFmtId="0" fontId="8" fillId="0" borderId="176" xfId="0" applyFont="1" applyBorder="1" applyAlignment="1">
      <alignment horizontal="center" vertical="center"/>
    </xf>
    <xf numFmtId="0" fontId="8" fillId="2" borderId="176" xfId="0" applyFont="1" applyFill="1" applyBorder="1" applyAlignment="1">
      <alignment vertical="center" wrapText="1"/>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38" fontId="8" fillId="6" borderId="17" xfId="2" applyFont="1" applyFill="1" applyBorder="1" applyAlignment="1">
      <alignment horizontal="distributed" vertical="center" shrinkToFit="1"/>
    </xf>
    <xf numFmtId="38" fontId="8" fillId="6" borderId="18" xfId="2" applyFont="1" applyFill="1" applyBorder="1" applyAlignment="1">
      <alignment horizontal="distributed" vertical="center" shrinkToFit="1"/>
    </xf>
    <xf numFmtId="38" fontId="8" fillId="0" borderId="1" xfId="2" applyFont="1" applyFill="1" applyBorder="1" applyAlignment="1">
      <alignment horizontal="distributed" vertical="center"/>
    </xf>
    <xf numFmtId="0" fontId="8" fillId="0" borderId="2"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1" xfId="0" applyFont="1" applyBorder="1" applyAlignment="1">
      <alignment horizontal="distributed" vertical="center" shrinkToFit="1"/>
    </xf>
    <xf numFmtId="38" fontId="8" fillId="6" borderId="1" xfId="2" applyFont="1" applyFill="1" applyBorder="1" applyAlignment="1">
      <alignment horizontal="distributed" vertical="center"/>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38" fontId="8" fillId="6" borderId="13" xfId="2" applyFont="1" applyFill="1" applyBorder="1" applyAlignment="1">
      <alignment horizontal="distributed" vertical="center"/>
    </xf>
    <xf numFmtId="38" fontId="8" fillId="6" borderId="11" xfId="2" applyFont="1" applyFill="1" applyBorder="1" applyAlignment="1">
      <alignment horizontal="distributed" vertical="center"/>
    </xf>
    <xf numFmtId="0" fontId="8" fillId="0" borderId="3" xfId="0" applyFont="1" applyBorder="1" applyAlignment="1">
      <alignment horizontal="distributed" vertical="center" wrapText="1"/>
    </xf>
    <xf numFmtId="38" fontId="8" fillId="6" borderId="15" xfId="2" applyFont="1" applyFill="1" applyBorder="1" applyAlignment="1">
      <alignment horizontal="distributed" vertical="center"/>
    </xf>
    <xf numFmtId="38" fontId="8" fillId="6" borderId="14" xfId="2" applyFont="1" applyFill="1" applyBorder="1" applyAlignment="1">
      <alignment horizontal="distributed" vertical="center"/>
    </xf>
    <xf numFmtId="38" fontId="8" fillId="6" borderId="0" xfId="2" applyFont="1" applyFill="1" applyBorder="1" applyAlignment="1">
      <alignment horizontal="distributed" vertical="center"/>
    </xf>
    <xf numFmtId="38" fontId="8" fillId="6" borderId="8" xfId="2" applyFont="1" applyFill="1" applyBorder="1" applyAlignment="1">
      <alignment horizontal="distributed" vertical="center"/>
    </xf>
    <xf numFmtId="38" fontId="8" fillId="6" borderId="2" xfId="2" applyFont="1" applyFill="1" applyBorder="1" applyAlignment="1">
      <alignment horizontal="distributed" vertical="center" shrinkToFit="1"/>
    </xf>
    <xf numFmtId="38" fontId="8" fillId="6" borderId="4" xfId="2" applyFont="1" applyFill="1" applyBorder="1" applyAlignment="1">
      <alignment horizontal="distributed" vertical="center" shrinkToFit="1"/>
    </xf>
    <xf numFmtId="0" fontId="8" fillId="0" borderId="2" xfId="0" applyFont="1" applyBorder="1" applyAlignment="1">
      <alignment vertical="center"/>
    </xf>
    <xf numFmtId="0" fontId="8" fillId="0" borderId="4" xfId="0" applyFont="1" applyBorder="1" applyAlignment="1">
      <alignment vertical="center"/>
    </xf>
    <xf numFmtId="193" fontId="9" fillId="0" borderId="6" xfId="0" applyNumberFormat="1" applyFont="1" applyBorder="1" applyAlignment="1">
      <alignment horizontal="center" vertical="center" shrinkToFit="1"/>
    </xf>
    <xf numFmtId="193" fontId="9" fillId="0" borderId="16" xfId="0" applyNumberFormat="1" applyFont="1" applyBorder="1" applyAlignment="1">
      <alignment horizontal="center" vertical="center" shrinkToFit="1"/>
    </xf>
    <xf numFmtId="193" fontId="9" fillId="0" borderId="7" xfId="0" applyNumberFormat="1" applyFont="1" applyBorder="1" applyAlignment="1">
      <alignment horizontal="center" vertical="center" shrinkToFit="1"/>
    </xf>
    <xf numFmtId="0" fontId="32" fillId="0" borderId="2" xfId="0" applyFont="1" applyBorder="1" applyAlignment="1">
      <alignment vertical="center"/>
    </xf>
    <xf numFmtId="0" fontId="32" fillId="0" borderId="4" xfId="0" applyFont="1" applyBorder="1" applyAlignment="1">
      <alignment vertical="center"/>
    </xf>
    <xf numFmtId="0" fontId="8" fillId="0" borderId="123" xfId="0" applyFont="1" applyBorder="1" applyAlignment="1">
      <alignment vertical="center"/>
    </xf>
    <xf numFmtId="9" fontId="8" fillId="0" borderId="3" xfId="1" applyFont="1" applyBorder="1" applyAlignment="1">
      <alignment horizontal="distributed" vertical="center"/>
    </xf>
    <xf numFmtId="9" fontId="8" fillId="0" borderId="4" xfId="1" applyFont="1" applyBorder="1" applyAlignment="1">
      <alignment horizontal="distributed" vertical="center"/>
    </xf>
    <xf numFmtId="38" fontId="8" fillId="5" borderId="123" xfId="2" applyFont="1" applyFill="1" applyBorder="1" applyAlignment="1">
      <alignment vertical="center"/>
    </xf>
    <xf numFmtId="192" fontId="9" fillId="0" borderId="6" xfId="0" applyNumberFormat="1" applyFont="1" applyBorder="1" applyAlignment="1">
      <alignment horizontal="center" vertical="center" shrinkToFit="1"/>
    </xf>
    <xf numFmtId="192" fontId="9" fillId="0" borderId="16" xfId="0" applyNumberFormat="1" applyFont="1" applyBorder="1" applyAlignment="1">
      <alignment horizontal="center" vertical="center" shrinkToFit="1"/>
    </xf>
    <xf numFmtId="192" fontId="9" fillId="0" borderId="7" xfId="0" applyNumberFormat="1" applyFont="1" applyBorder="1" applyAlignment="1">
      <alignment horizontal="center" vertical="center" shrinkToFit="1"/>
    </xf>
    <xf numFmtId="0" fontId="8" fillId="0" borderId="123" xfId="0" applyFont="1" applyBorder="1" applyAlignment="1">
      <alignment horizontal="distributed" vertical="center" wrapText="1"/>
    </xf>
    <xf numFmtId="38" fontId="8" fillId="0" borderId="176" xfId="2" applyFont="1" applyFill="1" applyBorder="1" applyAlignment="1">
      <alignment horizontal="center" vertical="center"/>
    </xf>
    <xf numFmtId="0" fontId="8" fillId="0" borderId="123" xfId="0" applyFont="1" applyBorder="1" applyAlignment="1">
      <alignment horizontal="distributed" vertical="center" shrinkToFit="1"/>
    </xf>
    <xf numFmtId="0" fontId="32" fillId="0" borderId="176" xfId="0" applyFont="1" applyBorder="1" applyAlignment="1">
      <alignment horizontal="center" vertical="center" wrapText="1" shrinkToFit="1"/>
    </xf>
    <xf numFmtId="0" fontId="45" fillId="0" borderId="145" xfId="0" applyFont="1" applyBorder="1" applyAlignment="1">
      <alignment horizontal="center" vertical="center" wrapText="1"/>
    </xf>
    <xf numFmtId="0" fontId="22" fillId="0" borderId="242" xfId="0" applyFont="1" applyBorder="1" applyAlignment="1" applyProtection="1">
      <alignment horizontal="center" vertical="top" shrinkToFit="1"/>
      <protection hidden="1"/>
    </xf>
    <xf numFmtId="0" fontId="22" fillId="0" borderId="0" xfId="0" applyFont="1" applyAlignment="1" applyProtection="1">
      <alignment horizontal="center" vertical="top" shrinkToFit="1"/>
      <protection hidden="1"/>
    </xf>
    <xf numFmtId="0" fontId="22" fillId="0" borderId="122" xfId="0" applyFont="1" applyBorder="1" applyAlignment="1" applyProtection="1">
      <alignment horizontal="center" vertical="top" shrinkToFit="1"/>
      <protection hidden="1"/>
    </xf>
    <xf numFmtId="0" fontId="22" fillId="0" borderId="65" xfId="0" applyFont="1" applyBorder="1" applyAlignment="1" applyProtection="1">
      <alignment horizontal="center" vertical="top" shrinkToFit="1"/>
      <protection hidden="1"/>
    </xf>
    <xf numFmtId="0" fontId="6" fillId="0" borderId="197" xfId="0" applyFont="1" applyBorder="1" applyAlignment="1">
      <alignment horizontal="center"/>
    </xf>
    <xf numFmtId="0" fontId="6" fillId="0" borderId="195" xfId="0" applyFont="1" applyBorder="1" applyAlignment="1">
      <alignment horizontal="center"/>
    </xf>
    <xf numFmtId="0" fontId="6" fillId="0" borderId="196" xfId="0" applyFont="1" applyBorder="1" applyAlignment="1">
      <alignment horizontal="center"/>
    </xf>
    <xf numFmtId="0" fontId="6" fillId="0" borderId="197" xfId="0" applyFont="1" applyBorder="1" applyAlignment="1" applyProtection="1">
      <alignment horizontal="center" vertical="center" wrapText="1"/>
      <protection hidden="1"/>
    </xf>
    <xf numFmtId="0" fontId="6" fillId="0" borderId="195" xfId="0" applyFont="1" applyBorder="1" applyAlignment="1" applyProtection="1">
      <alignment horizontal="center" vertical="center" wrapText="1"/>
      <protection hidden="1"/>
    </xf>
    <xf numFmtId="0" fontId="6" fillId="0" borderId="196" xfId="0" applyFont="1" applyBorder="1" applyAlignment="1" applyProtection="1">
      <alignment horizontal="center" vertical="center" wrapText="1"/>
      <protection hidden="1"/>
    </xf>
    <xf numFmtId="0" fontId="6" fillId="0" borderId="197" xfId="0" applyFont="1" applyBorder="1" applyAlignment="1" applyProtection="1">
      <alignment horizontal="center" vertical="center" wrapText="1" shrinkToFit="1"/>
      <protection hidden="1"/>
    </xf>
    <xf numFmtId="0" fontId="6" fillId="0" borderId="195" xfId="0" applyFont="1" applyBorder="1" applyAlignment="1" applyProtection="1">
      <alignment horizontal="center" vertical="center" wrapText="1" shrinkToFit="1"/>
      <protection hidden="1"/>
    </xf>
    <xf numFmtId="0" fontId="6" fillId="0" borderId="196" xfId="0" applyFont="1" applyBorder="1" applyAlignment="1" applyProtection="1">
      <alignment horizontal="center" vertical="center" wrapText="1" shrinkToFit="1"/>
      <protection hidden="1"/>
    </xf>
    <xf numFmtId="0" fontId="6" fillId="0" borderId="65" xfId="0" applyFont="1" applyBorder="1" applyAlignment="1" applyProtection="1">
      <alignment horizontal="center" vertical="center" wrapText="1"/>
      <protection hidden="1"/>
    </xf>
    <xf numFmtId="0" fontId="6" fillId="0" borderId="137" xfId="0" applyFont="1" applyBorder="1" applyAlignment="1" applyProtection="1">
      <alignment horizontal="center" vertical="center" wrapText="1"/>
      <protection hidden="1"/>
    </xf>
    <xf numFmtId="0" fontId="4" fillId="0" borderId="197" xfId="0" applyFont="1" applyBorder="1" applyAlignment="1" applyProtection="1">
      <alignment horizontal="right" vertical="top"/>
      <protection hidden="1"/>
    </xf>
    <xf numFmtId="0" fontId="4" fillId="0" borderId="195" xfId="0" applyFont="1" applyBorder="1" applyAlignment="1" applyProtection="1">
      <alignment horizontal="right" vertical="top"/>
      <protection hidden="1"/>
    </xf>
    <xf numFmtId="0" fontId="4" fillId="0" borderId="196" xfId="0" applyFont="1" applyBorder="1" applyAlignment="1" applyProtection="1">
      <alignment horizontal="right" vertical="top"/>
      <protection hidden="1"/>
    </xf>
    <xf numFmtId="0" fontId="4" fillId="0" borderId="197" xfId="0" applyFont="1" applyBorder="1" applyAlignment="1" applyProtection="1">
      <alignment horizontal="left" vertical="top" shrinkToFit="1"/>
      <protection hidden="1"/>
    </xf>
    <xf numFmtId="0" fontId="4" fillId="0" borderId="195" xfId="0" applyFont="1" applyBorder="1" applyAlignment="1" applyProtection="1">
      <alignment horizontal="left" vertical="top" shrinkToFit="1"/>
      <protection hidden="1"/>
    </xf>
    <xf numFmtId="38" fontId="16" fillId="0" borderId="195" xfId="2" applyFont="1" applyBorder="1" applyAlignment="1" applyProtection="1">
      <alignment horizontal="right" vertical="center" shrinkToFit="1"/>
      <protection hidden="1"/>
    </xf>
    <xf numFmtId="0" fontId="4" fillId="0" borderId="195" xfId="0" applyFont="1" applyBorder="1" applyAlignment="1" applyProtection="1">
      <alignment horizontal="right" vertical="top" textRotation="255"/>
      <protection hidden="1"/>
    </xf>
    <xf numFmtId="0" fontId="4" fillId="0" borderId="196" xfId="0" applyFont="1" applyBorder="1" applyAlignment="1" applyProtection="1">
      <alignment horizontal="right" vertical="top" textRotation="255"/>
      <protection hidden="1"/>
    </xf>
    <xf numFmtId="0" fontId="22" fillId="0" borderId="244" xfId="0" applyFont="1" applyBorder="1" applyAlignment="1" applyProtection="1">
      <alignment horizontal="center" vertical="top" shrinkToFit="1"/>
      <protection hidden="1"/>
    </xf>
    <xf numFmtId="0" fontId="22" fillId="0" borderId="236" xfId="0" applyFont="1" applyBorder="1" applyAlignment="1" applyProtection="1">
      <alignment horizontal="center" vertical="top" shrinkToFit="1"/>
      <protection hidden="1"/>
    </xf>
    <xf numFmtId="0" fontId="22" fillId="0" borderId="224" xfId="0" applyFont="1" applyBorder="1" applyAlignment="1" applyProtection="1">
      <alignment horizontal="center" vertical="top" shrinkToFit="1"/>
      <protection hidden="1"/>
    </xf>
    <xf numFmtId="0" fontId="22" fillId="0" borderId="99" xfId="0" applyFont="1" applyBorder="1" applyAlignment="1" applyProtection="1">
      <alignment horizontal="center" vertical="top" shrinkToFit="1"/>
      <protection hidden="1"/>
    </xf>
    <xf numFmtId="0" fontId="22" fillId="0" borderId="221" xfId="0" applyFont="1" applyBorder="1" applyAlignment="1" applyProtection="1">
      <alignment horizontal="center" vertical="top" shrinkToFit="1"/>
      <protection hidden="1"/>
    </xf>
    <xf numFmtId="0" fontId="22" fillId="0" borderId="223" xfId="0" applyFont="1" applyBorder="1" applyAlignment="1" applyProtection="1">
      <alignment horizontal="center" vertical="top" shrinkToFit="1"/>
      <protection hidden="1"/>
    </xf>
    <xf numFmtId="0" fontId="22" fillId="0" borderId="242" xfId="0" applyFont="1" applyBorder="1" applyAlignment="1">
      <alignment horizontal="center" vertical="top"/>
    </xf>
    <xf numFmtId="0" fontId="22" fillId="0" borderId="0" xfId="0" applyFont="1" applyAlignment="1">
      <alignment horizontal="center" vertical="top"/>
    </xf>
    <xf numFmtId="0" fontId="22" fillId="0" borderId="145" xfId="0" applyFont="1" applyBorder="1" applyAlignment="1">
      <alignment horizontal="center" vertical="top"/>
    </xf>
    <xf numFmtId="0" fontId="22" fillId="0" borderId="122" xfId="0" applyFont="1" applyBorder="1" applyAlignment="1">
      <alignment horizontal="center" vertical="top"/>
    </xf>
    <xf numFmtId="0" fontId="22" fillId="0" borderId="65" xfId="0" applyFont="1" applyBorder="1" applyAlignment="1">
      <alignment horizontal="center" vertical="top"/>
    </xf>
    <xf numFmtId="0" fontId="22" fillId="0" borderId="137" xfId="0" applyFont="1" applyBorder="1" applyAlignment="1">
      <alignment horizontal="center" vertical="top"/>
    </xf>
    <xf numFmtId="0" fontId="22" fillId="0" borderId="242" xfId="0" applyFont="1" applyBorder="1" applyAlignment="1" applyProtection="1">
      <alignment horizontal="center" vertical="top"/>
      <protection hidden="1"/>
    </xf>
    <xf numFmtId="0" fontId="22" fillId="0" borderId="0" xfId="0" applyFont="1" applyAlignment="1" applyProtection="1">
      <alignment horizontal="center" vertical="top"/>
      <protection hidden="1"/>
    </xf>
    <xf numFmtId="0" fontId="22" fillId="0" borderId="145" xfId="0" applyFont="1" applyBorder="1" applyAlignment="1" applyProtection="1">
      <alignment horizontal="center" vertical="top"/>
      <protection hidden="1"/>
    </xf>
    <xf numFmtId="0" fontId="22" fillId="0" borderId="122" xfId="0" applyFont="1" applyBorder="1" applyAlignment="1" applyProtection="1">
      <alignment horizontal="center" vertical="top"/>
      <protection hidden="1"/>
    </xf>
    <xf numFmtId="0" fontId="22" fillId="0" borderId="65" xfId="0" applyFont="1" applyBorder="1" applyAlignment="1" applyProtection="1">
      <alignment horizontal="center" vertical="top"/>
      <protection hidden="1"/>
    </xf>
    <xf numFmtId="0" fontId="22" fillId="0" borderId="137" xfId="0" applyFont="1" applyBorder="1" applyAlignment="1" applyProtection="1">
      <alignment horizontal="center" vertical="top"/>
      <protection hidden="1"/>
    </xf>
    <xf numFmtId="0" fontId="22" fillId="0" borderId="145" xfId="0" applyFont="1" applyBorder="1" applyAlignment="1" applyProtection="1">
      <alignment horizontal="center" vertical="top" shrinkToFit="1"/>
      <protection hidden="1"/>
    </xf>
    <xf numFmtId="0" fontId="22" fillId="0" borderId="137" xfId="0" applyFont="1" applyBorder="1" applyAlignment="1" applyProtection="1">
      <alignment horizontal="center" vertical="top" shrinkToFit="1"/>
      <protection hidden="1"/>
    </xf>
    <xf numFmtId="38" fontId="22" fillId="0" borderId="156" xfId="2" applyFont="1" applyFill="1" applyBorder="1" applyAlignment="1" applyProtection="1">
      <alignment horizontal="right" vertical="top" indent="1" shrinkToFit="1"/>
      <protection hidden="1"/>
    </xf>
    <xf numFmtId="38" fontId="22" fillId="0" borderId="157" xfId="2" applyFont="1" applyFill="1" applyBorder="1" applyAlignment="1" applyProtection="1">
      <alignment horizontal="right" vertical="top" indent="1" shrinkToFit="1"/>
      <protection hidden="1"/>
    </xf>
    <xf numFmtId="38" fontId="22" fillId="0" borderId="158" xfId="2" applyFont="1" applyFill="1" applyBorder="1" applyAlignment="1" applyProtection="1">
      <alignment horizontal="right" vertical="top" indent="1" shrinkToFit="1"/>
      <protection hidden="1"/>
    </xf>
    <xf numFmtId="0" fontId="4" fillId="0" borderId="153" xfId="0" applyFont="1" applyBorder="1" applyAlignment="1" applyProtection="1">
      <alignment horizontal="right" vertical="top"/>
      <protection hidden="1"/>
    </xf>
    <xf numFmtId="0" fontId="4" fillId="0" borderId="154" xfId="0" applyFont="1" applyBorder="1" applyAlignment="1" applyProtection="1">
      <alignment horizontal="right" vertical="top"/>
      <protection hidden="1"/>
    </xf>
    <xf numFmtId="0" fontId="4" fillId="0" borderId="155" xfId="0" applyFont="1" applyBorder="1" applyAlignment="1" applyProtection="1">
      <alignment horizontal="right" vertical="top"/>
      <protection hidden="1"/>
    </xf>
    <xf numFmtId="0" fontId="6" fillId="0" borderId="0" xfId="0" applyFont="1" applyAlignment="1" applyProtection="1">
      <alignment horizontal="center" vertical="center" wrapText="1" shrinkToFit="1"/>
      <protection hidden="1"/>
    </xf>
    <xf numFmtId="0" fontId="6" fillId="0" borderId="145" xfId="0" applyFont="1" applyBorder="1" applyAlignment="1" applyProtection="1">
      <alignment horizontal="center" vertical="center" wrapText="1" shrinkToFit="1"/>
      <protection hidden="1"/>
    </xf>
    <xf numFmtId="0" fontId="6" fillId="0" borderId="122" xfId="0" applyFont="1" applyBorder="1" applyAlignment="1" applyProtection="1">
      <alignment horizontal="center" vertical="center" wrapText="1"/>
      <protection hidden="1"/>
    </xf>
    <xf numFmtId="38" fontId="22" fillId="0" borderId="65" xfId="2" applyFont="1" applyFill="1" applyBorder="1" applyAlignment="1" applyProtection="1">
      <alignment horizontal="right" vertical="top" indent="1" shrinkToFit="1"/>
      <protection hidden="1"/>
    </xf>
    <xf numFmtId="38" fontId="22" fillId="0" borderId="137" xfId="2" applyFont="1" applyFill="1" applyBorder="1" applyAlignment="1" applyProtection="1">
      <alignment horizontal="right" vertical="top" indent="1" shrinkToFit="1"/>
      <protection hidden="1"/>
    </xf>
    <xf numFmtId="0" fontId="6" fillId="0" borderId="4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45" xfId="0" applyFont="1" applyBorder="1" applyAlignment="1" applyProtection="1">
      <alignment horizontal="center" vertical="center" wrapText="1"/>
      <protection hidden="1"/>
    </xf>
    <xf numFmtId="0" fontId="6" fillId="0" borderId="150" xfId="0" applyFont="1" applyBorder="1" applyAlignment="1" applyProtection="1">
      <alignment horizontal="distributed" vertical="center" justifyLastLine="1"/>
      <protection hidden="1"/>
    </xf>
    <xf numFmtId="0" fontId="6" fillId="0" borderId="151" xfId="0" applyFont="1" applyBorder="1" applyAlignment="1" applyProtection="1">
      <alignment horizontal="distributed" vertical="center" justifyLastLine="1"/>
      <protection hidden="1"/>
    </xf>
    <xf numFmtId="0" fontId="6" fillId="0" borderId="152" xfId="0" applyFont="1" applyBorder="1" applyAlignment="1" applyProtection="1">
      <alignment horizontal="distributed" vertical="center" justifyLastLine="1"/>
      <protection hidden="1"/>
    </xf>
    <xf numFmtId="0" fontId="6" fillId="0" borderId="228" xfId="0" applyFont="1" applyBorder="1" applyAlignment="1" applyProtection="1">
      <alignment horizontal="center" vertical="center" shrinkToFit="1"/>
      <protection hidden="1"/>
    </xf>
    <xf numFmtId="0" fontId="6" fillId="0" borderId="229" xfId="0" applyFont="1" applyBorder="1" applyAlignment="1" applyProtection="1">
      <alignment horizontal="center" vertical="center" shrinkToFit="1"/>
      <protection hidden="1"/>
    </xf>
    <xf numFmtId="0" fontId="6" fillId="0" borderId="197" xfId="0" applyFont="1" applyBorder="1" applyAlignment="1" applyProtection="1">
      <alignment horizontal="center" vertical="center"/>
      <protection hidden="1"/>
    </xf>
    <xf numFmtId="0" fontId="6" fillId="0" borderId="195" xfId="0" applyFont="1" applyBorder="1" applyAlignment="1" applyProtection="1">
      <alignment horizontal="center" vertical="center"/>
      <protection hidden="1"/>
    </xf>
    <xf numFmtId="0" fontId="4" fillId="0" borderId="197" xfId="0" applyFont="1" applyBorder="1" applyAlignment="1" applyProtection="1">
      <alignment horizontal="distributed" vertical="top"/>
      <protection hidden="1"/>
    </xf>
    <xf numFmtId="0" fontId="4" fillId="0" borderId="195" xfId="0" applyFont="1" applyBorder="1" applyAlignment="1" applyProtection="1">
      <alignment horizontal="distributed" vertical="top"/>
      <protection hidden="1"/>
    </xf>
    <xf numFmtId="0" fontId="4" fillId="0" borderId="196" xfId="0" applyFont="1" applyBorder="1" applyAlignment="1" applyProtection="1">
      <alignment horizontal="distributed" vertical="top"/>
      <protection hidden="1"/>
    </xf>
    <xf numFmtId="0" fontId="22" fillId="0" borderId="40" xfId="0" applyFont="1" applyBorder="1" applyAlignment="1" applyProtection="1">
      <alignment horizontal="center" vertical="top" shrinkToFit="1"/>
      <protection hidden="1"/>
    </xf>
    <xf numFmtId="0" fontId="22" fillId="0" borderId="40" xfId="0" applyFont="1" applyBorder="1" applyAlignment="1">
      <alignment horizontal="center" vertical="top"/>
    </xf>
    <xf numFmtId="0" fontId="23" fillId="0" borderId="40"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145" xfId="0" applyFont="1" applyBorder="1" applyAlignment="1" applyProtection="1">
      <alignment horizontal="center" vertical="center"/>
      <protection hidden="1"/>
    </xf>
    <xf numFmtId="0" fontId="23" fillId="0" borderId="122" xfId="0" applyFont="1" applyBorder="1" applyAlignment="1" applyProtection="1">
      <alignment horizontal="center" vertical="center"/>
      <protection hidden="1"/>
    </xf>
    <xf numFmtId="0" fontId="23" fillId="0" borderId="65" xfId="0" applyFont="1" applyBorder="1" applyAlignment="1" applyProtection="1">
      <alignment horizontal="center" vertical="center"/>
      <protection hidden="1"/>
    </xf>
    <xf numFmtId="0" fontId="23" fillId="0" borderId="137" xfId="0" applyFont="1" applyBorder="1" applyAlignment="1" applyProtection="1">
      <alignment horizontal="center" vertical="center"/>
      <protection hidden="1"/>
    </xf>
    <xf numFmtId="0" fontId="6" fillId="0" borderId="40" xfId="0" applyFont="1" applyBorder="1" applyAlignment="1" applyProtection="1">
      <alignment horizontal="distributed" vertical="center" indent="2"/>
      <protection hidden="1"/>
    </xf>
    <xf numFmtId="0" fontId="6" fillId="0" borderId="0" xfId="0" applyFont="1" applyAlignment="1" applyProtection="1">
      <alignment horizontal="distributed" vertical="center" indent="2"/>
      <protection hidden="1"/>
    </xf>
    <xf numFmtId="0" fontId="6" fillId="0" borderId="145" xfId="0" applyFont="1" applyBorder="1" applyAlignment="1" applyProtection="1">
      <alignment horizontal="distributed" vertical="center" indent="2"/>
      <protection hidden="1"/>
    </xf>
    <xf numFmtId="0" fontId="4" fillId="0" borderId="143" xfId="0" applyFont="1" applyBorder="1" applyAlignment="1" applyProtection="1">
      <alignment horizontal="distributed" vertical="top"/>
      <protection hidden="1"/>
    </xf>
    <xf numFmtId="0" fontId="4" fillId="0" borderId="142" xfId="0" applyFont="1" applyBorder="1" applyAlignment="1" applyProtection="1">
      <alignment horizontal="right" vertical="top" textRotation="255"/>
      <protection hidden="1"/>
    </xf>
    <xf numFmtId="0" fontId="4" fillId="0" borderId="143" xfId="0" applyFont="1" applyBorder="1" applyAlignment="1" applyProtection="1">
      <alignment horizontal="right" vertical="top" textRotation="255"/>
      <protection hidden="1"/>
    </xf>
    <xf numFmtId="0" fontId="4" fillId="0" borderId="143" xfId="0" applyFont="1" applyBorder="1" applyAlignment="1" applyProtection="1">
      <alignment horizontal="right" vertical="top"/>
      <protection hidden="1"/>
    </xf>
    <xf numFmtId="0" fontId="4" fillId="0" borderId="144" xfId="0" applyFont="1" applyBorder="1" applyAlignment="1" applyProtection="1">
      <alignment horizontal="right" vertical="top"/>
      <protection hidden="1"/>
    </xf>
    <xf numFmtId="177" fontId="24" fillId="0" borderId="143" xfId="0" applyNumberFormat="1" applyFont="1" applyBorder="1" applyAlignment="1" applyProtection="1">
      <alignment horizontal="right" vertical="center" shrinkToFit="1"/>
      <protection locked="0"/>
    </xf>
    <xf numFmtId="0" fontId="4" fillId="0" borderId="232" xfId="0" applyFont="1" applyBorder="1" applyAlignment="1" applyProtection="1">
      <alignment horizontal="right" vertical="top"/>
      <protection hidden="1"/>
    </xf>
    <xf numFmtId="0" fontId="4" fillId="0" borderId="233" xfId="0" applyFont="1" applyBorder="1" applyAlignment="1" applyProtection="1">
      <alignment horizontal="right" vertical="top"/>
      <protection hidden="1"/>
    </xf>
    <xf numFmtId="0" fontId="4" fillId="0" borderId="234" xfId="0" applyFont="1" applyBorder="1" applyAlignment="1" applyProtection="1">
      <alignment horizontal="right" vertical="top"/>
      <protection hidden="1"/>
    </xf>
    <xf numFmtId="0" fontId="4" fillId="0" borderId="170" xfId="0" applyFont="1" applyBorder="1" applyAlignment="1" applyProtection="1">
      <alignment horizontal="right" vertical="top"/>
      <protection hidden="1"/>
    </xf>
    <xf numFmtId="0" fontId="16" fillId="0" borderId="142" xfId="0" applyFont="1" applyBorder="1" applyAlignment="1" applyProtection="1">
      <alignment horizontal="center" vertical="center"/>
      <protection hidden="1"/>
    </xf>
    <xf numFmtId="0" fontId="16" fillId="0" borderId="143" xfId="0" applyFont="1" applyBorder="1" applyAlignment="1" applyProtection="1">
      <alignment horizontal="center" vertical="center"/>
      <protection hidden="1"/>
    </xf>
    <xf numFmtId="0" fontId="16" fillId="0" borderId="103" xfId="0" applyFont="1" applyBorder="1" applyAlignment="1" applyProtection="1">
      <alignment horizontal="center" vertical="center"/>
      <protection hidden="1"/>
    </xf>
    <xf numFmtId="0" fontId="16" fillId="0" borderId="65" xfId="0" applyFont="1" applyBorder="1" applyAlignment="1" applyProtection="1">
      <alignment horizontal="center" vertical="center"/>
      <protection hidden="1"/>
    </xf>
    <xf numFmtId="0" fontId="22" fillId="0" borderId="14" xfId="0" applyFont="1" applyBorder="1" applyAlignment="1" applyProtection="1">
      <alignment horizontal="center" vertical="top"/>
      <protection hidden="1"/>
    </xf>
    <xf numFmtId="0" fontId="22" fillId="0" borderId="103" xfId="0" applyFont="1" applyBorder="1" applyAlignment="1" applyProtection="1">
      <alignment horizontal="center" vertical="top"/>
      <protection hidden="1"/>
    </xf>
    <xf numFmtId="0" fontId="22" fillId="0" borderId="160" xfId="0" applyFont="1" applyBorder="1" applyAlignment="1" applyProtection="1">
      <alignment horizontal="center" vertical="top" shrinkToFit="1"/>
      <protection hidden="1"/>
    </xf>
    <xf numFmtId="0" fontId="22" fillId="0" borderId="156" xfId="0" applyFont="1" applyBorder="1" applyAlignment="1" applyProtection="1">
      <alignment horizontal="center" vertical="top" shrinkToFit="1"/>
      <protection hidden="1"/>
    </xf>
    <xf numFmtId="0" fontId="22" fillId="0" borderId="157" xfId="0" applyFont="1" applyBorder="1" applyAlignment="1" applyProtection="1">
      <alignment horizontal="center" vertical="top" shrinkToFit="1"/>
      <protection hidden="1"/>
    </xf>
    <xf numFmtId="0" fontId="61" fillId="0" borderId="0" xfId="0" quotePrefix="1" applyFont="1" applyAlignment="1">
      <alignment horizontal="right" vertical="center"/>
    </xf>
    <xf numFmtId="0" fontId="23" fillId="0" borderId="149" xfId="0" applyFont="1" applyBorder="1" applyProtection="1">
      <protection hidden="1"/>
    </xf>
    <xf numFmtId="0" fontId="23" fillId="0" borderId="149" xfId="0" applyFont="1" applyBorder="1" applyAlignment="1" applyProtection="1">
      <alignment horizontal="left" vertical="center"/>
      <protection hidden="1"/>
    </xf>
    <xf numFmtId="0" fontId="23" fillId="0" borderId="149" xfId="0" applyFont="1" applyBorder="1" applyAlignment="1" applyProtection="1">
      <alignment horizontal="distributed" vertical="center"/>
      <protection hidden="1"/>
    </xf>
    <xf numFmtId="0" fontId="23" fillId="0" borderId="186" xfId="0" applyFont="1" applyBorder="1" applyAlignment="1" applyProtection="1">
      <alignment vertical="top"/>
      <protection hidden="1"/>
    </xf>
    <xf numFmtId="0" fontId="23" fillId="0" borderId="188" xfId="0" applyFont="1" applyBorder="1" applyAlignment="1" applyProtection="1">
      <alignment vertical="top"/>
      <protection hidden="1"/>
    </xf>
    <xf numFmtId="1" fontId="16" fillId="0" borderId="188" xfId="0" applyNumberFormat="1" applyFont="1" applyBorder="1" applyAlignment="1" applyProtection="1">
      <alignment horizontal="left" vertical="center" shrinkToFit="1"/>
      <protection hidden="1"/>
    </xf>
    <xf numFmtId="1" fontId="16" fillId="0" borderId="189" xfId="0" applyNumberFormat="1" applyFont="1" applyBorder="1" applyAlignment="1" applyProtection="1">
      <alignment horizontal="left" vertical="center" shrinkToFit="1"/>
      <protection hidden="1"/>
    </xf>
    <xf numFmtId="38" fontId="24" fillId="0" borderId="149" xfId="2" applyFont="1" applyFill="1" applyBorder="1" applyAlignment="1" applyProtection="1">
      <alignment horizontal="center" vertical="center" shrinkToFit="1"/>
      <protection hidden="1"/>
    </xf>
    <xf numFmtId="0" fontId="22" fillId="0" borderId="0" xfId="0" applyFont="1" applyAlignment="1" applyProtection="1">
      <alignment horizontal="left" vertical="center" wrapText="1" indent="1"/>
      <protection hidden="1"/>
    </xf>
    <xf numFmtId="0" fontId="23" fillId="0" borderId="149" xfId="0" applyFont="1" applyBorder="1" applyAlignment="1" applyProtection="1">
      <alignment vertical="top"/>
      <protection hidden="1"/>
    </xf>
    <xf numFmtId="0" fontId="7" fillId="0" borderId="147" xfId="0" applyFont="1" applyBorder="1" applyAlignment="1" applyProtection="1">
      <alignment vertical="top"/>
      <protection hidden="1"/>
    </xf>
    <xf numFmtId="0" fontId="7" fillId="0" borderId="149" xfId="0" applyFont="1" applyBorder="1" applyAlignment="1" applyProtection="1">
      <alignment vertical="top"/>
      <protection hidden="1"/>
    </xf>
    <xf numFmtId="0" fontId="17" fillId="0" borderId="149" xfId="0" applyFont="1" applyBorder="1" applyAlignment="1" applyProtection="1">
      <alignment vertical="top"/>
      <protection hidden="1"/>
    </xf>
    <xf numFmtId="1" fontId="22" fillId="0" borderId="188" xfId="0" applyNumberFormat="1" applyFont="1" applyBorder="1" applyAlignment="1" applyProtection="1">
      <alignment horizontal="distributed" vertical="center" justifyLastLine="1"/>
      <protection hidden="1"/>
    </xf>
    <xf numFmtId="1" fontId="22" fillId="0" borderId="189" xfId="0" applyNumberFormat="1" applyFont="1" applyBorder="1" applyAlignment="1" applyProtection="1">
      <alignment horizontal="distributed" vertical="center" justifyLastLine="1"/>
      <protection hidden="1"/>
    </xf>
    <xf numFmtId="0" fontId="6" fillId="0" borderId="149" xfId="0" applyFont="1" applyBorder="1" applyAlignment="1" applyProtection="1">
      <alignment horizontal="center" vertical="distributed" textRotation="255" justifyLastLine="1"/>
      <protection hidden="1"/>
    </xf>
    <xf numFmtId="0" fontId="6" fillId="0" borderId="147" xfId="0" applyFont="1" applyBorder="1" applyAlignment="1" applyProtection="1">
      <alignment horizontal="center" vertical="distributed" textRotation="255" justifyLastLine="1"/>
      <protection hidden="1"/>
    </xf>
    <xf numFmtId="0" fontId="23" fillId="0" borderId="139" xfId="0" applyFont="1" applyBorder="1" applyAlignment="1" applyProtection="1">
      <alignment vertical="top" shrinkToFit="1"/>
      <protection hidden="1"/>
    </xf>
    <xf numFmtId="0" fontId="23" fillId="0" borderId="140" xfId="0" applyFont="1" applyBorder="1" applyAlignment="1" applyProtection="1">
      <alignment vertical="top" shrinkToFit="1"/>
      <protection hidden="1"/>
    </xf>
    <xf numFmtId="1" fontId="16" fillId="0" borderId="140" xfId="0" applyNumberFormat="1" applyFont="1" applyBorder="1" applyAlignment="1" applyProtection="1">
      <alignment horizontal="distributed" vertical="center" justifyLastLine="1"/>
      <protection hidden="1"/>
    </xf>
    <xf numFmtId="1" fontId="16" fillId="0" borderId="141" xfId="0" applyNumberFormat="1" applyFont="1" applyBorder="1" applyAlignment="1" applyProtection="1">
      <alignment horizontal="distributed" vertical="center" justifyLastLine="1"/>
      <protection hidden="1"/>
    </xf>
    <xf numFmtId="0" fontId="6" fillId="0" borderId="149" xfId="0" applyFont="1" applyBorder="1" applyAlignment="1" applyProtection="1">
      <alignment horizontal="distributed" vertical="center" wrapText="1"/>
      <protection hidden="1"/>
    </xf>
    <xf numFmtId="0" fontId="6" fillId="0" borderId="149" xfId="0" applyFont="1" applyBorder="1" applyAlignment="1" applyProtection="1">
      <alignment horizontal="distributed" vertical="center"/>
      <protection hidden="1"/>
    </xf>
    <xf numFmtId="0" fontId="6" fillId="0" borderId="147" xfId="0" applyFont="1" applyBorder="1" applyAlignment="1" applyProtection="1">
      <alignment horizontal="distributed" vertical="center"/>
      <protection hidden="1"/>
    </xf>
    <xf numFmtId="0" fontId="6" fillId="0" borderId="149" xfId="0" applyFont="1" applyBorder="1" applyAlignment="1" applyProtection="1">
      <alignment horizontal="center" vertical="center"/>
      <protection hidden="1"/>
    </xf>
    <xf numFmtId="0" fontId="40" fillId="0" borderId="140" xfId="0" applyFont="1" applyBorder="1" applyAlignment="1" applyProtection="1">
      <alignment horizontal="center" vertical="center"/>
      <protection hidden="1"/>
    </xf>
    <xf numFmtId="0" fontId="40" fillId="0" borderId="141" xfId="0" applyFont="1" applyBorder="1" applyAlignment="1" applyProtection="1">
      <alignment horizontal="center" vertical="center"/>
      <protection hidden="1"/>
    </xf>
    <xf numFmtId="0" fontId="6" fillId="0" borderId="101" xfId="0" applyFont="1" applyBorder="1" applyAlignment="1" applyProtection="1">
      <alignment horizontal="center" vertical="distributed" textRotation="255" justifyLastLine="1"/>
      <protection hidden="1"/>
    </xf>
    <xf numFmtId="0" fontId="6" fillId="0" borderId="147" xfId="0" applyFont="1" applyBorder="1" applyAlignment="1" applyProtection="1">
      <alignment horizontal="distributed" vertical="center" justifyLastLine="1"/>
      <protection hidden="1"/>
    </xf>
    <xf numFmtId="0" fontId="23" fillId="0" borderId="147" xfId="0" applyFont="1" applyBorder="1" applyAlignment="1" applyProtection="1">
      <alignment horizontal="distributed" vertical="center" wrapText="1" justifyLastLine="1"/>
      <protection hidden="1"/>
    </xf>
    <xf numFmtId="0" fontId="23" fillId="0" borderId="147" xfId="0" applyFont="1" applyBorder="1" applyAlignment="1" applyProtection="1">
      <alignment horizontal="distributed" vertical="center" justifyLastLine="1"/>
      <protection hidden="1"/>
    </xf>
    <xf numFmtId="0" fontId="6" fillId="0" borderId="149" xfId="0" applyFont="1" applyBorder="1" applyAlignment="1" applyProtection="1">
      <alignment horizontal="center" vertical="center" justifyLastLine="1"/>
      <protection hidden="1"/>
    </xf>
    <xf numFmtId="0" fontId="6" fillId="0" borderId="149" xfId="0" applyFont="1" applyBorder="1" applyAlignment="1" applyProtection="1">
      <alignment horizontal="distributed" vertical="center" justifyLastLine="1"/>
      <protection hidden="1"/>
    </xf>
    <xf numFmtId="0" fontId="7" fillId="0" borderId="142" xfId="0" applyFont="1" applyBorder="1" applyAlignment="1" applyProtection="1">
      <alignment horizontal="center" vertical="center" wrapText="1"/>
      <protection hidden="1"/>
    </xf>
    <xf numFmtId="0" fontId="7" fillId="0" borderId="143" xfId="0" applyFont="1" applyBorder="1" applyAlignment="1" applyProtection="1">
      <alignment horizontal="center" vertical="center" wrapText="1"/>
      <protection hidden="1"/>
    </xf>
    <xf numFmtId="0" fontId="7" fillId="0" borderId="144"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145" xfId="0" applyFont="1" applyBorder="1" applyAlignment="1" applyProtection="1">
      <alignment horizontal="center" vertical="center" wrapText="1"/>
      <protection hidden="1"/>
    </xf>
    <xf numFmtId="0" fontId="7" fillId="0" borderId="103" xfId="0" applyFont="1" applyBorder="1" applyAlignment="1" applyProtection="1">
      <alignment horizontal="center" vertical="center" wrapText="1"/>
      <protection hidden="1"/>
    </xf>
    <xf numFmtId="0" fontId="7" fillId="0" borderId="65" xfId="0" applyFont="1" applyBorder="1" applyAlignment="1" applyProtection="1">
      <alignment horizontal="center" vertical="center" wrapText="1"/>
      <protection hidden="1"/>
    </xf>
    <xf numFmtId="0" fontId="7" fillId="0" borderId="137" xfId="0" applyFont="1" applyBorder="1" applyAlignment="1" applyProtection="1">
      <alignment horizontal="center" vertical="center" wrapText="1"/>
      <protection hidden="1"/>
    </xf>
    <xf numFmtId="0" fontId="6" fillId="0" borderId="196" xfId="0" applyFont="1" applyBorder="1" applyAlignment="1" applyProtection="1">
      <alignment horizontal="center" vertical="center"/>
      <protection hidden="1"/>
    </xf>
    <xf numFmtId="0" fontId="23" fillId="0" borderId="40" xfId="0" applyFont="1" applyBorder="1" applyAlignment="1" applyProtection="1">
      <alignment horizontal="center" vertical="center" shrinkToFit="1"/>
      <protection hidden="1"/>
    </xf>
    <xf numFmtId="0" fontId="23" fillId="0" borderId="0" xfId="0" applyFont="1" applyAlignment="1" applyProtection="1">
      <alignment horizontal="center" vertical="center" shrinkToFit="1"/>
      <protection hidden="1"/>
    </xf>
    <xf numFmtId="0" fontId="23" fillId="0" borderId="122" xfId="0" applyFont="1" applyBorder="1" applyAlignment="1" applyProtection="1">
      <alignment horizontal="center" vertical="center" shrinkToFit="1"/>
      <protection hidden="1"/>
    </xf>
    <xf numFmtId="0" fontId="23" fillId="0" borderId="65" xfId="0" applyFont="1" applyBorder="1" applyAlignment="1" applyProtection="1">
      <alignment horizontal="center" vertical="center" shrinkToFit="1"/>
      <protection hidden="1"/>
    </xf>
    <xf numFmtId="0" fontId="6" fillId="0" borderId="40"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21" fillId="0" borderId="14" xfId="0" applyFont="1" applyBorder="1" applyAlignment="1" applyProtection="1">
      <alignment horizontal="distributed" vertical="top" wrapText="1"/>
      <protection hidden="1"/>
    </xf>
    <xf numFmtId="0" fontId="21" fillId="0" borderId="0" xfId="0" applyFont="1" applyAlignment="1" applyProtection="1">
      <alignment horizontal="distributed" vertical="top" wrapText="1"/>
      <protection hidden="1"/>
    </xf>
    <xf numFmtId="0" fontId="21" fillId="0" borderId="65" xfId="0" applyFont="1" applyBorder="1" applyAlignment="1" applyProtection="1">
      <alignment horizontal="distributed" vertical="top" wrapText="1"/>
      <protection hidden="1"/>
    </xf>
    <xf numFmtId="0" fontId="55" fillId="0" borderId="0" xfId="0" applyFont="1" applyAlignment="1" applyProtection="1">
      <alignment vertical="center" wrapText="1"/>
      <protection hidden="1"/>
    </xf>
    <xf numFmtId="0" fontId="55" fillId="0" borderId="145" xfId="0" applyFont="1" applyBorder="1" applyAlignment="1" applyProtection="1">
      <alignment vertical="center" wrapText="1"/>
      <protection hidden="1"/>
    </xf>
    <xf numFmtId="0" fontId="6" fillId="0" borderId="142" xfId="0" applyFont="1" applyBorder="1" applyAlignment="1" applyProtection="1">
      <alignment horizontal="center" vertical="center" wrapText="1"/>
      <protection hidden="1"/>
    </xf>
    <xf numFmtId="0" fontId="6" fillId="0" borderId="143" xfId="0" applyFont="1" applyBorder="1" applyAlignment="1" applyProtection="1">
      <alignment horizontal="center" vertical="center" wrapText="1"/>
      <protection hidden="1"/>
    </xf>
    <xf numFmtId="0" fontId="6" fillId="0" borderId="144" xfId="0" applyFont="1" applyBorder="1" applyAlignment="1" applyProtection="1">
      <alignment horizontal="center" vertical="center" wrapText="1"/>
      <protection hidden="1"/>
    </xf>
    <xf numFmtId="0" fontId="6" fillId="0" borderId="142" xfId="0" applyFont="1" applyBorder="1" applyAlignment="1" applyProtection="1">
      <alignment horizontal="center" vertical="center"/>
      <protection hidden="1"/>
    </xf>
    <xf numFmtId="0" fontId="6" fillId="0" borderId="143" xfId="0" applyFont="1" applyBorder="1" applyAlignment="1" applyProtection="1">
      <alignment horizontal="center" vertical="center"/>
      <protection hidden="1"/>
    </xf>
    <xf numFmtId="0" fontId="6" fillId="0" borderId="144" xfId="0" applyFont="1" applyBorder="1" applyAlignment="1" applyProtection="1">
      <alignment horizontal="center" vertical="center"/>
      <protection hidden="1"/>
    </xf>
    <xf numFmtId="0" fontId="4" fillId="0" borderId="153" xfId="0" applyFont="1" applyBorder="1" applyAlignment="1" applyProtection="1">
      <alignment vertical="top"/>
      <protection hidden="1"/>
    </xf>
    <xf numFmtId="0" fontId="4" fillId="0" borderId="154" xfId="0" applyFont="1" applyBorder="1" applyAlignment="1" applyProtection="1">
      <alignment vertical="top"/>
      <protection hidden="1"/>
    </xf>
    <xf numFmtId="38" fontId="22" fillId="0" borderId="154" xfId="2" applyFont="1" applyFill="1" applyBorder="1" applyAlignment="1" applyProtection="1">
      <alignment horizontal="right" vertical="top"/>
      <protection hidden="1"/>
    </xf>
    <xf numFmtId="0" fontId="22" fillId="0" borderId="231" xfId="0" applyFont="1" applyBorder="1" applyAlignment="1" applyProtection="1">
      <alignment horizontal="center" vertical="top" shrinkToFit="1"/>
      <protection hidden="1"/>
    </xf>
    <xf numFmtId="0" fontId="22" fillId="0" borderId="171" xfId="0" applyFont="1" applyBorder="1" applyAlignment="1" applyProtection="1">
      <alignment horizontal="center" vertical="top" shrinkToFit="1"/>
      <protection hidden="1"/>
    </xf>
    <xf numFmtId="0" fontId="4" fillId="0" borderId="230" xfId="0" applyFont="1" applyBorder="1" applyAlignment="1" applyProtection="1">
      <alignment horizontal="right" vertical="top"/>
      <protection hidden="1"/>
    </xf>
    <xf numFmtId="0" fontId="4" fillId="0" borderId="169" xfId="0" applyFont="1" applyBorder="1" applyAlignment="1" applyProtection="1">
      <alignment horizontal="right" vertical="top"/>
      <protection hidden="1"/>
    </xf>
    <xf numFmtId="0" fontId="23" fillId="0" borderId="142" xfId="0" applyFont="1" applyBorder="1" applyAlignment="1" applyProtection="1">
      <alignment horizontal="distributed" wrapText="1"/>
      <protection hidden="1"/>
    </xf>
    <xf numFmtId="0" fontId="23" fillId="0" borderId="143" xfId="0" applyFont="1" applyBorder="1" applyAlignment="1" applyProtection="1">
      <alignment horizontal="distributed" wrapText="1"/>
      <protection hidden="1"/>
    </xf>
    <xf numFmtId="0" fontId="23" fillId="0" borderId="144" xfId="0" applyFont="1" applyBorder="1" applyAlignment="1" applyProtection="1">
      <alignment horizontal="distributed" wrapText="1"/>
      <protection hidden="1"/>
    </xf>
    <xf numFmtId="0" fontId="23" fillId="0" borderId="14" xfId="0" applyFont="1" applyBorder="1" applyAlignment="1" applyProtection="1">
      <alignment horizontal="distributed" wrapText="1"/>
      <protection hidden="1"/>
    </xf>
    <xf numFmtId="0" fontId="23" fillId="0" borderId="0" xfId="0" applyFont="1" applyAlignment="1" applyProtection="1">
      <alignment horizontal="distributed" wrapText="1"/>
      <protection hidden="1"/>
    </xf>
    <xf numFmtId="0" fontId="23" fillId="0" borderId="145" xfId="0" applyFont="1" applyBorder="1" applyAlignment="1" applyProtection="1">
      <alignment horizontal="distributed" wrapText="1"/>
      <protection hidden="1"/>
    </xf>
    <xf numFmtId="0" fontId="6" fillId="0" borderId="0" xfId="0" applyFont="1" applyAlignment="1" applyProtection="1">
      <alignment horizontal="distributed" vertical="center" wrapText="1" indent="1"/>
      <protection hidden="1"/>
    </xf>
    <xf numFmtId="0" fontId="4" fillId="0" borderId="40" xfId="0" applyFont="1" applyBorder="1" applyAlignment="1" applyProtection="1">
      <alignment horizontal="center" vertical="center" wrapText="1" shrinkToFit="1"/>
      <protection hidden="1"/>
    </xf>
    <xf numFmtId="0" fontId="4" fillId="0" borderId="0" xfId="0" applyFont="1" applyAlignment="1" applyProtection="1">
      <alignment horizontal="center" vertical="center" shrinkToFit="1"/>
      <protection hidden="1"/>
    </xf>
    <xf numFmtId="0" fontId="4" fillId="0" borderId="145" xfId="0" applyFont="1" applyBorder="1" applyAlignment="1" applyProtection="1">
      <alignment horizontal="center" vertical="center" shrinkToFit="1"/>
      <protection hidden="1"/>
    </xf>
    <xf numFmtId="0" fontId="4" fillId="0" borderId="14" xfId="0" applyFont="1" applyBorder="1" applyAlignment="1" applyProtection="1">
      <alignment horizontal="center" vertical="center" shrinkToFit="1"/>
      <protection hidden="1"/>
    </xf>
    <xf numFmtId="0" fontId="4" fillId="0" borderId="103" xfId="0" applyFont="1" applyBorder="1" applyAlignment="1" applyProtection="1">
      <alignment horizontal="center" vertical="center" shrinkToFit="1"/>
      <protection hidden="1"/>
    </xf>
    <xf numFmtId="0" fontId="4" fillId="0" borderId="65" xfId="0" applyFont="1" applyBorder="1" applyAlignment="1" applyProtection="1">
      <alignment horizontal="center" vertical="center" shrinkToFit="1"/>
      <protection hidden="1"/>
    </xf>
    <xf numFmtId="0" fontId="4" fillId="0" borderId="137" xfId="0" applyFont="1" applyBorder="1" applyAlignment="1" applyProtection="1">
      <alignment horizontal="center" vertical="center" shrinkToFit="1"/>
      <protection hidden="1"/>
    </xf>
    <xf numFmtId="38" fontId="22" fillId="0" borderId="156" xfId="2" applyFont="1" applyBorder="1" applyAlignment="1" applyProtection="1">
      <alignment horizontal="right" vertical="top" indent="1" shrinkToFit="1"/>
      <protection hidden="1"/>
    </xf>
    <xf numFmtId="38" fontId="22" fillId="0" borderId="157" xfId="2" applyFont="1" applyBorder="1" applyAlignment="1" applyProtection="1">
      <alignment horizontal="right" vertical="top" indent="1" shrinkToFit="1"/>
      <protection hidden="1"/>
    </xf>
    <xf numFmtId="38" fontId="22" fillId="0" borderId="158" xfId="2" applyFont="1" applyBorder="1" applyAlignment="1" applyProtection="1">
      <alignment horizontal="right" vertical="top" indent="1" shrinkToFit="1"/>
      <protection hidden="1"/>
    </xf>
    <xf numFmtId="38" fontId="22" fillId="0" borderId="241" xfId="2" applyFont="1" applyBorder="1" applyAlignment="1" applyProtection="1">
      <alignment horizontal="right" vertical="top" indent="1" shrinkToFit="1"/>
      <protection hidden="1"/>
    </xf>
    <xf numFmtId="38" fontId="22" fillId="0" borderId="65" xfId="2" applyFont="1" applyBorder="1" applyAlignment="1" applyProtection="1">
      <alignment horizontal="right" vertical="top" indent="1" shrinkToFit="1"/>
      <protection hidden="1"/>
    </xf>
    <xf numFmtId="38" fontId="22" fillId="0" borderId="137" xfId="2" applyFont="1" applyBorder="1" applyAlignment="1" applyProtection="1">
      <alignment horizontal="right" vertical="top" indent="1" shrinkToFit="1"/>
      <protection hidden="1"/>
    </xf>
    <xf numFmtId="38" fontId="22" fillId="0" borderId="103" xfId="2" applyFont="1" applyBorder="1" applyAlignment="1" applyProtection="1">
      <alignment horizontal="right" vertical="top" indent="1" shrinkToFit="1"/>
      <protection hidden="1"/>
    </xf>
    <xf numFmtId="0" fontId="22" fillId="0" borderId="164" xfId="0" applyFont="1" applyBorder="1" applyAlignment="1" applyProtection="1">
      <alignment horizontal="center" vertical="center" shrinkToFit="1"/>
      <protection hidden="1"/>
    </xf>
    <xf numFmtId="0" fontId="22" fillId="0" borderId="149" xfId="0" applyFont="1" applyBorder="1" applyAlignment="1" applyProtection="1">
      <alignment horizontal="center" vertical="center" shrinkToFit="1"/>
      <protection hidden="1"/>
    </xf>
    <xf numFmtId="0" fontId="22" fillId="0" borderId="165" xfId="0" applyFont="1" applyBorder="1" applyAlignment="1" applyProtection="1">
      <alignment horizontal="center" vertical="center" shrinkToFit="1"/>
      <protection hidden="1"/>
    </xf>
    <xf numFmtId="0" fontId="22" fillId="0" borderId="166" xfId="0" applyFont="1" applyBorder="1" applyAlignment="1" applyProtection="1">
      <alignment horizontal="center" vertical="center" shrinkToFit="1"/>
      <protection hidden="1"/>
    </xf>
    <xf numFmtId="0" fontId="22" fillId="0" borderId="167" xfId="0" applyFont="1" applyBorder="1" applyAlignment="1" applyProtection="1">
      <alignment horizontal="center" vertical="center" shrinkToFit="1"/>
      <protection hidden="1"/>
    </xf>
    <xf numFmtId="0" fontId="22" fillId="0" borderId="168" xfId="0" applyFont="1" applyBorder="1" applyAlignment="1" applyProtection="1">
      <alignment horizontal="center" vertical="center" shrinkToFit="1"/>
      <protection hidden="1"/>
    </xf>
    <xf numFmtId="0" fontId="22" fillId="0" borderId="141" xfId="0" applyFont="1" applyBorder="1" applyAlignment="1">
      <alignment horizontal="center" vertical="center"/>
    </xf>
    <xf numFmtId="0" fontId="22" fillId="0" borderId="149" xfId="0" applyFont="1" applyBorder="1" applyAlignment="1">
      <alignment horizontal="center" vertical="center"/>
    </xf>
    <xf numFmtId="0" fontId="22" fillId="0" borderId="139" xfId="0" applyFont="1" applyBorder="1" applyAlignment="1">
      <alignment horizontal="center" vertical="center"/>
    </xf>
    <xf numFmtId="0" fontId="22" fillId="0" borderId="159" xfId="0" applyFont="1" applyBorder="1" applyAlignment="1" applyProtection="1">
      <alignment horizontal="center" vertical="top" shrinkToFit="1"/>
      <protection hidden="1"/>
    </xf>
    <xf numFmtId="0" fontId="22" fillId="0" borderId="158" xfId="0" applyFont="1" applyBorder="1" applyAlignment="1" applyProtection="1">
      <alignment horizontal="center" vertical="top" shrinkToFit="1"/>
      <protection hidden="1"/>
    </xf>
    <xf numFmtId="38" fontId="22" fillId="0" borderId="160" xfId="2" applyFont="1" applyFill="1" applyBorder="1" applyAlignment="1" applyProtection="1">
      <alignment horizontal="right" vertical="top" indent="1" shrinkToFit="1"/>
      <protection hidden="1"/>
    </xf>
    <xf numFmtId="38" fontId="22" fillId="0" borderId="0" xfId="2" applyFont="1" applyFill="1" applyBorder="1" applyAlignment="1" applyProtection="1">
      <alignment horizontal="right" vertical="top" indent="1" shrinkToFit="1"/>
      <protection hidden="1"/>
    </xf>
    <xf numFmtId="38" fontId="22" fillId="0" borderId="159" xfId="2" applyFont="1" applyFill="1" applyBorder="1" applyAlignment="1" applyProtection="1">
      <alignment horizontal="right" vertical="top" indent="1" shrinkToFit="1"/>
      <protection hidden="1"/>
    </xf>
    <xf numFmtId="0" fontId="22" fillId="0" borderId="235" xfId="0" applyFont="1" applyBorder="1" applyAlignment="1" applyProtection="1">
      <alignment horizontal="center" vertical="top" shrinkToFit="1"/>
      <protection hidden="1"/>
    </xf>
    <xf numFmtId="0" fontId="22" fillId="0" borderId="238" xfId="0" applyFont="1" applyBorder="1" applyAlignment="1" applyProtection="1">
      <alignment horizontal="center" vertical="top" shrinkToFit="1"/>
      <protection hidden="1"/>
    </xf>
    <xf numFmtId="0" fontId="22" fillId="0" borderId="239" xfId="0" applyFont="1" applyBorder="1" applyAlignment="1" applyProtection="1">
      <alignment horizontal="center" vertical="top" shrinkToFit="1"/>
      <protection hidden="1"/>
    </xf>
    <xf numFmtId="0" fontId="22" fillId="0" borderId="237" xfId="0" applyFont="1" applyBorder="1" applyAlignment="1" applyProtection="1">
      <alignment horizontal="center" vertical="top" shrinkToFit="1"/>
      <protection hidden="1"/>
    </xf>
    <xf numFmtId="0" fontId="22" fillId="0" borderId="240" xfId="0" applyFont="1" applyBorder="1" applyAlignment="1" applyProtection="1">
      <alignment horizontal="center" vertical="top" shrinkToFit="1"/>
      <protection hidden="1"/>
    </xf>
    <xf numFmtId="0" fontId="22" fillId="0" borderId="172" xfId="0" applyFont="1" applyBorder="1" applyAlignment="1" applyProtection="1">
      <alignment horizontal="center" vertical="top" shrinkToFit="1"/>
      <protection hidden="1"/>
    </xf>
    <xf numFmtId="0" fontId="6" fillId="0" borderId="161" xfId="0" applyFont="1" applyBorder="1" applyAlignment="1" applyProtection="1">
      <alignment horizontal="center" vertical="center"/>
      <protection hidden="1"/>
    </xf>
    <xf numFmtId="0" fontId="6" fillId="0" borderId="162" xfId="0" applyFont="1" applyBorder="1" applyAlignment="1" applyProtection="1">
      <alignment horizontal="center" vertical="center"/>
      <protection hidden="1"/>
    </xf>
    <xf numFmtId="0" fontId="6" fillId="0" borderId="163" xfId="0" applyFont="1" applyBorder="1" applyAlignment="1" applyProtection="1">
      <alignment horizontal="center" vertical="center"/>
      <protection hidden="1"/>
    </xf>
    <xf numFmtId="0" fontId="6" fillId="0" borderId="140" xfId="0" applyFont="1" applyBorder="1" applyAlignment="1" applyProtection="1">
      <alignment horizontal="center" vertical="center"/>
      <protection hidden="1"/>
    </xf>
    <xf numFmtId="0" fontId="4" fillId="0" borderId="153" xfId="0" applyFont="1" applyBorder="1" applyAlignment="1" applyProtection="1">
      <alignment horizontal="left" vertical="top" textRotation="255"/>
      <protection hidden="1"/>
    </xf>
    <xf numFmtId="0" fontId="4" fillId="0" borderId="154" xfId="0" applyFont="1" applyBorder="1" applyAlignment="1" applyProtection="1">
      <alignment horizontal="left" vertical="top" textRotation="255"/>
      <protection hidden="1"/>
    </xf>
    <xf numFmtId="0" fontId="4" fillId="0" borderId="155" xfId="0" applyFont="1" applyBorder="1" applyAlignment="1" applyProtection="1">
      <alignment horizontal="left" vertical="top" textRotation="255"/>
      <protection hidden="1"/>
    </xf>
    <xf numFmtId="0" fontId="6" fillId="0" borderId="172" xfId="0" applyFont="1" applyBorder="1" applyAlignment="1">
      <alignment horizontal="center"/>
    </xf>
    <xf numFmtId="0" fontId="6" fillId="0" borderId="157" xfId="0" applyFont="1" applyBorder="1" applyAlignment="1">
      <alignment horizontal="center"/>
    </xf>
    <xf numFmtId="0" fontId="6" fillId="0" borderId="171" xfId="0" applyFont="1" applyBorder="1" applyAlignment="1">
      <alignment horizontal="center"/>
    </xf>
    <xf numFmtId="0" fontId="4" fillId="0" borderId="154" xfId="0" applyFont="1" applyBorder="1" applyAlignment="1" applyProtection="1">
      <alignment horizontal="right" vertical="top" textRotation="255"/>
      <protection hidden="1"/>
    </xf>
    <xf numFmtId="0" fontId="4" fillId="0" borderId="155" xfId="0" applyFont="1" applyBorder="1" applyAlignment="1" applyProtection="1">
      <alignment horizontal="right" vertical="top" textRotation="255"/>
      <protection hidden="1"/>
    </xf>
    <xf numFmtId="0" fontId="4" fillId="0" borderId="153" xfId="0" applyFont="1" applyBorder="1" applyAlignment="1" applyProtection="1">
      <alignment horizontal="left" vertical="top" shrinkToFit="1"/>
      <protection hidden="1"/>
    </xf>
    <xf numFmtId="0" fontId="4" fillId="0" borderId="154" xfId="0" applyFont="1" applyBorder="1" applyAlignment="1" applyProtection="1">
      <alignment horizontal="left" vertical="top" shrinkToFit="1"/>
      <protection hidden="1"/>
    </xf>
    <xf numFmtId="38" fontId="8" fillId="0" borderId="190" xfId="2" applyFont="1" applyFill="1" applyBorder="1" applyAlignment="1" applyProtection="1">
      <alignment horizontal="center" vertical="center" wrapText="1" shrinkToFit="1"/>
      <protection hidden="1"/>
    </xf>
    <xf numFmtId="38" fontId="8" fillId="0" borderId="191" xfId="2" applyFont="1" applyFill="1" applyBorder="1" applyAlignment="1" applyProtection="1">
      <alignment horizontal="center" vertical="center" wrapText="1" shrinkToFit="1"/>
      <protection hidden="1"/>
    </xf>
    <xf numFmtId="38" fontId="8" fillId="0" borderId="193" xfId="2" applyFont="1" applyFill="1" applyBorder="1" applyAlignment="1" applyProtection="1">
      <alignment horizontal="center" vertical="center" wrapText="1" shrinkToFit="1"/>
      <protection hidden="1"/>
    </xf>
    <xf numFmtId="38" fontId="8" fillId="0" borderId="65" xfId="2" applyFont="1" applyFill="1" applyBorder="1" applyAlignment="1" applyProtection="1">
      <alignment horizontal="center" vertical="center" wrapText="1" shrinkToFit="1"/>
      <protection hidden="1"/>
    </xf>
    <xf numFmtId="38" fontId="4" fillId="0" borderId="192" xfId="2" applyFont="1" applyFill="1" applyBorder="1" applyAlignment="1" applyProtection="1">
      <alignment horizontal="center" vertical="center" wrapText="1" shrinkToFit="1"/>
      <protection hidden="1"/>
    </xf>
    <xf numFmtId="38" fontId="4" fillId="0" borderId="191" xfId="2" applyFont="1" applyFill="1" applyBorder="1" applyAlignment="1" applyProtection="1">
      <alignment horizontal="center" vertical="center" wrapText="1" shrinkToFit="1"/>
      <protection hidden="1"/>
    </xf>
    <xf numFmtId="38" fontId="4" fillId="0" borderId="103" xfId="2" applyFont="1" applyFill="1" applyBorder="1" applyAlignment="1" applyProtection="1">
      <alignment horizontal="center" vertical="center" wrapText="1" shrinkToFit="1"/>
      <protection hidden="1"/>
    </xf>
    <xf numFmtId="38" fontId="4" fillId="0" borderId="65" xfId="2" applyFont="1" applyFill="1" applyBorder="1" applyAlignment="1" applyProtection="1">
      <alignment horizontal="center" vertical="center" wrapText="1" shrinkToFit="1"/>
      <protection hidden="1"/>
    </xf>
    <xf numFmtId="38" fontId="16" fillId="0" borderId="154" xfId="2" applyFont="1" applyBorder="1" applyAlignment="1" applyProtection="1">
      <alignment horizontal="right" vertical="center" shrinkToFit="1"/>
      <protection hidden="1"/>
    </xf>
    <xf numFmtId="0" fontId="6" fillId="0" borderId="0" xfId="0" applyFont="1" applyAlignment="1">
      <alignment horizontal="center" vertical="center" shrinkToFit="1"/>
    </xf>
    <xf numFmtId="38" fontId="16" fillId="0" borderId="157" xfId="2" quotePrefix="1" applyFont="1" applyFill="1" applyBorder="1" applyAlignment="1" applyProtection="1">
      <alignment horizontal="right" vertical="top" shrinkToFit="1"/>
      <protection hidden="1"/>
    </xf>
    <xf numFmtId="38" fontId="16" fillId="0" borderId="158" xfId="2" quotePrefix="1" applyFont="1" applyFill="1" applyBorder="1" applyAlignment="1" applyProtection="1">
      <alignment horizontal="right" vertical="top" shrinkToFit="1"/>
      <protection hidden="1"/>
    </xf>
    <xf numFmtId="38" fontId="16" fillId="0" borderId="157" xfId="2" applyFont="1" applyFill="1" applyBorder="1" applyAlignment="1" applyProtection="1">
      <alignment horizontal="right" vertical="top" shrinkToFit="1"/>
      <protection hidden="1"/>
    </xf>
    <xf numFmtId="38" fontId="16" fillId="0" borderId="158" xfId="2" applyFont="1" applyFill="1" applyBorder="1" applyAlignment="1" applyProtection="1">
      <alignment horizontal="right" vertical="top" shrinkToFit="1"/>
      <protection hidden="1"/>
    </xf>
    <xf numFmtId="0" fontId="6" fillId="0" borderId="0" xfId="0" applyFont="1" applyAlignment="1" applyProtection="1">
      <alignment horizontal="left" vertical="center" wrapText="1" indent="1"/>
      <protection hidden="1"/>
    </xf>
    <xf numFmtId="0" fontId="6" fillId="0" borderId="145" xfId="0" applyFont="1" applyBorder="1" applyAlignment="1" applyProtection="1">
      <alignment horizontal="left" vertical="center" wrapText="1" indent="1"/>
      <protection hidden="1"/>
    </xf>
    <xf numFmtId="187" fontId="6" fillId="0" borderId="103" xfId="0" applyNumberFormat="1" applyFont="1" applyBorder="1" applyAlignment="1" applyProtection="1">
      <alignment vertical="top" shrinkToFit="1"/>
      <protection hidden="1"/>
    </xf>
    <xf numFmtId="187" fontId="6" fillId="0" borderId="65" xfId="0" applyNumberFormat="1" applyFont="1" applyBorder="1" applyAlignment="1" applyProtection="1">
      <alignment vertical="top" shrinkToFit="1"/>
      <protection hidden="1"/>
    </xf>
    <xf numFmtId="186" fontId="6" fillId="0" borderId="65" xfId="0" applyNumberFormat="1" applyFont="1" applyBorder="1" applyAlignment="1" applyProtection="1">
      <alignment horizontal="center" vertical="top" shrinkToFit="1"/>
      <protection hidden="1"/>
    </xf>
    <xf numFmtId="185" fontId="6" fillId="0" borderId="65" xfId="0" applyNumberFormat="1" applyFont="1" applyBorder="1" applyAlignment="1" applyProtection="1">
      <alignment horizontal="center" vertical="top" shrinkToFit="1"/>
      <protection hidden="1"/>
    </xf>
    <xf numFmtId="38" fontId="16" fillId="0" borderId="65" xfId="2" applyFont="1" applyFill="1" applyBorder="1" applyAlignment="1">
      <alignment vertical="top" shrinkToFit="1"/>
    </xf>
    <xf numFmtId="38" fontId="16" fillId="0" borderId="114" xfId="2" applyFont="1" applyFill="1" applyBorder="1" applyAlignment="1">
      <alignment vertical="top" shrinkToFit="1"/>
    </xf>
    <xf numFmtId="38" fontId="6" fillId="0" borderId="14" xfId="2" applyFont="1" applyFill="1" applyBorder="1" applyAlignment="1" applyProtection="1">
      <alignment horizontal="center" vertical="center" wrapText="1" shrinkToFit="1"/>
      <protection hidden="1"/>
    </xf>
    <xf numFmtId="38" fontId="6" fillId="0" borderId="195" xfId="2" applyFont="1" applyFill="1" applyBorder="1" applyAlignment="1" applyProtection="1">
      <alignment horizontal="center" vertical="center" wrapText="1" shrinkToFit="1"/>
      <protection hidden="1"/>
    </xf>
    <xf numFmtId="38" fontId="6" fillId="0" borderId="196" xfId="2" applyFont="1" applyFill="1" applyBorder="1" applyAlignment="1" applyProtection="1">
      <alignment horizontal="center" vertical="center" wrapText="1" shrinkToFit="1"/>
      <protection hidden="1"/>
    </xf>
    <xf numFmtId="38" fontId="6" fillId="0" borderId="103" xfId="2" applyFont="1" applyFill="1" applyBorder="1" applyAlignment="1" applyProtection="1">
      <alignment horizontal="center" vertical="center" wrapText="1" shrinkToFit="1"/>
      <protection hidden="1"/>
    </xf>
    <xf numFmtId="38" fontId="6" fillId="0" borderId="65" xfId="2" applyFont="1" applyFill="1" applyBorder="1" applyAlignment="1" applyProtection="1">
      <alignment horizontal="center" vertical="center" wrapText="1" shrinkToFit="1"/>
      <protection hidden="1"/>
    </xf>
    <xf numFmtId="38" fontId="6" fillId="0" borderId="137" xfId="2" applyFont="1" applyFill="1" applyBorder="1" applyAlignment="1" applyProtection="1">
      <alignment horizontal="center" vertical="center" wrapText="1" shrinkToFit="1"/>
      <protection hidden="1"/>
    </xf>
    <xf numFmtId="38" fontId="4" fillId="0" borderId="14" xfId="2" applyFont="1" applyFill="1" applyBorder="1" applyAlignment="1" applyProtection="1">
      <alignment horizontal="center" vertical="center" wrapText="1" shrinkToFit="1"/>
      <protection hidden="1"/>
    </xf>
    <xf numFmtId="38" fontId="4" fillId="0" borderId="0" xfId="2" applyFont="1" applyFill="1" applyBorder="1" applyAlignment="1" applyProtection="1">
      <alignment horizontal="center" vertical="center" wrapText="1" shrinkToFit="1"/>
      <protection hidden="1"/>
    </xf>
    <xf numFmtId="38" fontId="4" fillId="0" borderId="145" xfId="2" applyFont="1" applyFill="1" applyBorder="1" applyAlignment="1" applyProtection="1">
      <alignment horizontal="center" vertical="center" wrapText="1" shrinkToFit="1"/>
      <protection hidden="1"/>
    </xf>
    <xf numFmtId="38" fontId="4" fillId="0" borderId="137" xfId="2" applyFont="1" applyFill="1" applyBorder="1" applyAlignment="1" applyProtection="1">
      <alignment horizontal="center" vertical="center" wrapText="1" shrinkToFit="1"/>
      <protection hidden="1"/>
    </xf>
    <xf numFmtId="0" fontId="4" fillId="0" borderId="0" xfId="0" applyFont="1" applyAlignment="1" applyProtection="1">
      <alignment horizontal="right" vertical="top" textRotation="255"/>
      <protection hidden="1"/>
    </xf>
    <xf numFmtId="0" fontId="4" fillId="0" borderId="204" xfId="0" applyFont="1" applyBorder="1" applyAlignment="1" applyProtection="1">
      <alignment horizontal="right" vertical="top" textRotation="255"/>
      <protection hidden="1"/>
    </xf>
    <xf numFmtId="38" fontId="4" fillId="0" borderId="194" xfId="2" applyFont="1" applyFill="1" applyBorder="1" applyAlignment="1" applyProtection="1">
      <alignment horizontal="center" vertical="center" wrapText="1" shrinkToFit="1"/>
      <protection hidden="1"/>
    </xf>
    <xf numFmtId="38" fontId="4" fillId="0" borderId="195" xfId="2" applyFont="1" applyFill="1" applyBorder="1" applyAlignment="1" applyProtection="1">
      <alignment horizontal="center" vertical="center" wrapText="1" shrinkToFit="1"/>
      <protection hidden="1"/>
    </xf>
    <xf numFmtId="38" fontId="4" fillId="0" borderId="196" xfId="2" applyFont="1" applyFill="1" applyBorder="1" applyAlignment="1" applyProtection="1">
      <alignment horizontal="center" vertical="center" wrapText="1" shrinkToFit="1"/>
      <protection hidden="1"/>
    </xf>
    <xf numFmtId="38" fontId="4" fillId="0" borderId="199" xfId="2" applyFont="1" applyFill="1" applyBorder="1" applyAlignment="1" applyProtection="1">
      <alignment horizontal="center" vertical="center" wrapText="1" shrinkToFit="1"/>
      <protection hidden="1"/>
    </xf>
    <xf numFmtId="38" fontId="4" fillId="0" borderId="200" xfId="2" applyFont="1" applyFill="1" applyBorder="1" applyAlignment="1" applyProtection="1">
      <alignment horizontal="center" vertical="center" wrapText="1" shrinkToFit="1"/>
      <protection hidden="1"/>
    </xf>
    <xf numFmtId="38" fontId="4" fillId="0" borderId="201" xfId="2" applyFont="1" applyFill="1" applyBorder="1" applyAlignment="1" applyProtection="1">
      <alignment horizontal="center" vertical="center" wrapText="1" shrinkToFit="1"/>
      <protection hidden="1"/>
    </xf>
    <xf numFmtId="38" fontId="4" fillId="0" borderId="202" xfId="2" applyFont="1" applyFill="1" applyBorder="1" applyAlignment="1" applyProtection="1">
      <alignment horizontal="center" vertical="center" wrapText="1" shrinkToFit="1"/>
      <protection hidden="1"/>
    </xf>
    <xf numFmtId="38" fontId="8" fillId="0" borderId="197" xfId="2" applyFont="1" applyFill="1" applyBorder="1" applyAlignment="1" applyProtection="1">
      <alignment horizontal="center" vertical="center" wrapText="1" shrinkToFit="1"/>
      <protection hidden="1"/>
    </xf>
    <xf numFmtId="38" fontId="8" fillId="0" borderId="195" xfId="2" applyFont="1" applyFill="1" applyBorder="1" applyAlignment="1" applyProtection="1">
      <alignment horizontal="center" vertical="center" wrapText="1" shrinkToFit="1"/>
      <protection hidden="1"/>
    </xf>
    <xf numFmtId="38" fontId="8" fillId="0" borderId="145" xfId="2" applyFont="1" applyFill="1" applyBorder="1" applyAlignment="1" applyProtection="1">
      <alignment horizontal="center" vertical="center" wrapText="1" shrinkToFit="1"/>
      <protection hidden="1"/>
    </xf>
    <xf numFmtId="38" fontId="8" fillId="0" borderId="103" xfId="2" applyFont="1" applyFill="1" applyBorder="1" applyAlignment="1" applyProtection="1">
      <alignment horizontal="center" vertical="center" wrapText="1" shrinkToFit="1"/>
      <protection hidden="1"/>
    </xf>
    <xf numFmtId="38" fontId="8" fillId="0" borderId="137" xfId="2" applyFont="1" applyFill="1" applyBorder="1" applyAlignment="1" applyProtection="1">
      <alignment horizontal="center" vertical="center" wrapText="1" shrinkToFit="1"/>
      <protection hidden="1"/>
    </xf>
    <xf numFmtId="38" fontId="6" fillId="0" borderId="14" xfId="2" applyFont="1" applyFill="1" applyBorder="1" applyAlignment="1" applyProtection="1">
      <alignment horizontal="center" vertical="center" shrinkToFit="1"/>
      <protection hidden="1"/>
    </xf>
    <xf numFmtId="38" fontId="6" fillId="0" borderId="0" xfId="2" applyFont="1" applyFill="1" applyBorder="1" applyAlignment="1" applyProtection="1">
      <alignment horizontal="center" vertical="center" shrinkToFit="1"/>
      <protection hidden="1"/>
    </xf>
    <xf numFmtId="38" fontId="6" fillId="0" borderId="196" xfId="2" applyFont="1" applyFill="1" applyBorder="1" applyAlignment="1" applyProtection="1">
      <alignment horizontal="center" vertical="center" shrinkToFit="1"/>
      <protection hidden="1"/>
    </xf>
    <xf numFmtId="38" fontId="6" fillId="0" borderId="103" xfId="2" applyFont="1" applyFill="1" applyBorder="1" applyAlignment="1" applyProtection="1">
      <alignment horizontal="center" vertical="center" shrinkToFit="1"/>
      <protection hidden="1"/>
    </xf>
    <xf numFmtId="38" fontId="6" fillId="0" borderId="65" xfId="2" applyFont="1" applyFill="1" applyBorder="1" applyAlignment="1" applyProtection="1">
      <alignment horizontal="center" vertical="center" shrinkToFit="1"/>
      <protection hidden="1"/>
    </xf>
    <xf numFmtId="38" fontId="6" fillId="0" borderId="137" xfId="2" applyFont="1" applyFill="1" applyBorder="1" applyAlignment="1" applyProtection="1">
      <alignment horizontal="center" vertical="center" shrinkToFit="1"/>
      <protection hidden="1"/>
    </xf>
    <xf numFmtId="38" fontId="4" fillId="0" borderId="197" xfId="2" applyFont="1" applyFill="1" applyBorder="1" applyAlignment="1" applyProtection="1">
      <alignment horizontal="center" vertical="center" wrapText="1" shrinkToFit="1"/>
      <protection hidden="1"/>
    </xf>
    <xf numFmtId="0" fontId="4" fillId="0" borderId="222" xfId="0" applyFont="1" applyBorder="1" applyAlignment="1" applyProtection="1">
      <alignment horizontal="right" vertical="top" textRotation="255"/>
      <protection hidden="1"/>
    </xf>
    <xf numFmtId="38" fontId="8" fillId="0" borderId="196" xfId="2" applyFont="1" applyFill="1" applyBorder="1" applyAlignment="1" applyProtection="1">
      <alignment horizontal="center" vertical="center" wrapText="1" shrinkToFit="1"/>
      <protection hidden="1"/>
    </xf>
    <xf numFmtId="38" fontId="8" fillId="0" borderId="203" xfId="2" applyFont="1" applyFill="1" applyBorder="1" applyAlignment="1" applyProtection="1">
      <alignment horizontal="center" vertical="center" wrapText="1" shrinkToFit="1"/>
      <protection hidden="1"/>
    </xf>
    <xf numFmtId="38" fontId="8" fillId="0" borderId="201" xfId="2" applyFont="1" applyFill="1" applyBorder="1" applyAlignment="1" applyProtection="1">
      <alignment horizontal="center" vertical="center" wrapText="1" shrinkToFit="1"/>
      <protection hidden="1"/>
    </xf>
    <xf numFmtId="38" fontId="8" fillId="0" borderId="202" xfId="2" applyFont="1" applyFill="1" applyBorder="1" applyAlignment="1" applyProtection="1">
      <alignment horizontal="center" vertical="center" wrapText="1" shrinkToFit="1"/>
      <protection hidden="1"/>
    </xf>
    <xf numFmtId="38" fontId="4" fillId="0" borderId="101" xfId="2" applyFont="1" applyFill="1" applyBorder="1" applyAlignment="1" applyProtection="1">
      <alignment horizontal="center" vertical="center" wrapText="1" shrinkToFit="1"/>
      <protection hidden="1"/>
    </xf>
    <xf numFmtId="38" fontId="4" fillId="0" borderId="149" xfId="2" applyFont="1" applyFill="1" applyBorder="1" applyAlignment="1" applyProtection="1">
      <alignment horizontal="center" vertical="center" wrapText="1" shrinkToFit="1"/>
      <protection hidden="1"/>
    </xf>
    <xf numFmtId="38" fontId="4" fillId="0" borderId="186" xfId="2" applyFont="1" applyFill="1" applyBorder="1" applyAlignment="1" applyProtection="1">
      <alignment horizontal="center" vertical="center" wrapText="1" shrinkToFit="1"/>
      <protection hidden="1"/>
    </xf>
    <xf numFmtId="38" fontId="16" fillId="0" borderId="203" xfId="2" quotePrefix="1" applyFont="1" applyFill="1" applyBorder="1" applyAlignment="1" applyProtection="1">
      <alignment horizontal="right" vertical="top" shrinkToFit="1"/>
      <protection hidden="1"/>
    </xf>
    <xf numFmtId="38" fontId="16" fillId="0" borderId="201" xfId="2" quotePrefix="1" applyFont="1" applyFill="1" applyBorder="1" applyAlignment="1" applyProtection="1">
      <alignment horizontal="right" vertical="top" shrinkToFit="1"/>
      <protection hidden="1"/>
    </xf>
    <xf numFmtId="38" fontId="16" fillId="0" borderId="202" xfId="2" quotePrefix="1" applyFont="1" applyFill="1" applyBorder="1" applyAlignment="1" applyProtection="1">
      <alignment horizontal="right" vertical="top" shrinkToFit="1"/>
      <protection hidden="1"/>
    </xf>
    <xf numFmtId="187" fontId="6" fillId="0" borderId="203" xfId="0" applyNumberFormat="1" applyFont="1" applyBorder="1" applyAlignment="1" applyProtection="1">
      <alignment vertical="top" shrinkToFit="1"/>
      <protection hidden="1"/>
    </xf>
    <xf numFmtId="187" fontId="6" fillId="0" borderId="201" xfId="0" applyNumberFormat="1" applyFont="1" applyBorder="1" applyAlignment="1" applyProtection="1">
      <alignment vertical="top" shrinkToFit="1"/>
      <protection hidden="1"/>
    </xf>
    <xf numFmtId="186" fontId="6" fillId="0" borderId="201" xfId="0" applyNumberFormat="1" applyFont="1" applyBorder="1" applyAlignment="1" applyProtection="1">
      <alignment horizontal="center" vertical="top" shrinkToFit="1"/>
      <protection hidden="1"/>
    </xf>
    <xf numFmtId="185" fontId="6" fillId="0" borderId="201" xfId="0" applyNumberFormat="1" applyFont="1" applyBorder="1" applyAlignment="1" applyProtection="1">
      <alignment horizontal="center" vertical="top" shrinkToFit="1"/>
      <protection hidden="1"/>
    </xf>
    <xf numFmtId="38" fontId="16" fillId="0" borderId="201" xfId="2" applyFont="1" applyFill="1" applyBorder="1" applyAlignment="1">
      <alignment vertical="top" shrinkToFit="1"/>
    </xf>
    <xf numFmtId="38" fontId="16" fillId="0" borderId="0" xfId="2" applyFont="1" applyFill="1" applyBorder="1" applyAlignment="1">
      <alignment vertical="top" shrinkToFit="1"/>
    </xf>
    <xf numFmtId="38" fontId="16" fillId="0" borderId="204" xfId="2" applyFont="1" applyFill="1" applyBorder="1" applyAlignment="1">
      <alignment vertical="top" shrinkToFit="1"/>
    </xf>
    <xf numFmtId="38" fontId="4" fillId="0" borderId="203" xfId="2" applyFont="1" applyFill="1" applyBorder="1" applyAlignment="1" applyProtection="1">
      <alignment horizontal="center" vertical="center" wrapText="1" shrinkToFit="1"/>
      <protection hidden="1"/>
    </xf>
    <xf numFmtId="38" fontId="6" fillId="0" borderId="197" xfId="2" applyFont="1" applyFill="1" applyBorder="1" applyAlignment="1" applyProtection="1">
      <alignment horizontal="center" vertical="center" wrapText="1" shrinkToFit="1"/>
      <protection hidden="1"/>
    </xf>
    <xf numFmtId="38" fontId="6" fillId="0" borderId="40" xfId="2" applyFont="1" applyFill="1" applyBorder="1" applyAlignment="1" applyProtection="1">
      <alignment horizontal="center" vertical="center" wrapText="1" shrinkToFit="1"/>
      <protection hidden="1"/>
    </xf>
    <xf numFmtId="38" fontId="6" fillId="0" borderId="201" xfId="2" applyFont="1" applyFill="1" applyBorder="1" applyAlignment="1" applyProtection="1">
      <alignment horizontal="center" vertical="center" wrapText="1" shrinkToFit="1"/>
      <protection hidden="1"/>
    </xf>
    <xf numFmtId="38" fontId="6" fillId="0" borderId="202" xfId="2" applyFont="1" applyFill="1" applyBorder="1" applyAlignment="1" applyProtection="1">
      <alignment horizontal="center" vertical="center" wrapText="1" shrinkToFit="1"/>
      <protection hidden="1"/>
    </xf>
    <xf numFmtId="0" fontId="4" fillId="0" borderId="198" xfId="0" applyFont="1" applyBorder="1" applyAlignment="1" applyProtection="1">
      <alignment horizontal="right" vertical="top" textRotation="255"/>
      <protection hidden="1"/>
    </xf>
    <xf numFmtId="0" fontId="6" fillId="0" borderId="0" xfId="0" applyFont="1" applyAlignment="1" applyProtection="1">
      <alignment horizontal="distributed" vertical="center" shrinkToFit="1"/>
      <protection hidden="1"/>
    </xf>
    <xf numFmtId="38" fontId="4" fillId="0" borderId="189" xfId="2" applyFont="1" applyFill="1" applyBorder="1" applyAlignment="1" applyProtection="1">
      <alignment horizontal="center" vertical="center" wrapText="1" shrinkToFit="1"/>
      <protection hidden="1"/>
    </xf>
    <xf numFmtId="0" fontId="4" fillId="0" borderId="145" xfId="0" applyFont="1" applyBorder="1" applyAlignment="1" applyProtection="1">
      <alignment horizontal="right" vertical="top" textRotation="255"/>
      <protection hidden="1"/>
    </xf>
    <xf numFmtId="38" fontId="16" fillId="0" borderId="160" xfId="2" quotePrefix="1" applyFont="1" applyFill="1" applyBorder="1" applyAlignment="1" applyProtection="1">
      <alignment horizontal="right" vertical="center" shrinkToFit="1"/>
      <protection hidden="1"/>
    </xf>
    <xf numFmtId="38" fontId="16" fillId="0" borderId="0" xfId="2" quotePrefix="1" applyFont="1" applyFill="1" applyBorder="1" applyAlignment="1" applyProtection="1">
      <alignment horizontal="right" vertical="center" shrinkToFit="1"/>
      <protection hidden="1"/>
    </xf>
    <xf numFmtId="38" fontId="16" fillId="0" borderId="159" xfId="2" quotePrefix="1" applyFont="1" applyFill="1" applyBorder="1" applyAlignment="1" applyProtection="1">
      <alignment horizontal="right" vertical="center" shrinkToFit="1"/>
      <protection hidden="1"/>
    </xf>
    <xf numFmtId="38" fontId="16" fillId="0" borderId="156" xfId="2" quotePrefix="1" applyFont="1" applyFill="1" applyBorder="1" applyAlignment="1" applyProtection="1">
      <alignment horizontal="right" vertical="center" shrinkToFit="1"/>
      <protection hidden="1"/>
    </xf>
    <xf numFmtId="38" fontId="16" fillId="0" borderId="157" xfId="2" quotePrefix="1" applyFont="1" applyFill="1" applyBorder="1" applyAlignment="1" applyProtection="1">
      <alignment horizontal="right" vertical="center" shrinkToFit="1"/>
      <protection hidden="1"/>
    </xf>
    <xf numFmtId="38" fontId="16" fillId="0" borderId="158" xfId="2" quotePrefix="1" applyFont="1" applyFill="1" applyBorder="1" applyAlignment="1" applyProtection="1">
      <alignment horizontal="right" vertical="center" shrinkToFit="1"/>
      <protection hidden="1"/>
    </xf>
    <xf numFmtId="38" fontId="16" fillId="0" borderId="65" xfId="2" quotePrefix="1" applyFont="1" applyFill="1" applyBorder="1" applyAlignment="1" applyProtection="1">
      <alignment horizontal="right" vertical="center" shrinkToFit="1"/>
      <protection hidden="1"/>
    </xf>
    <xf numFmtId="38" fontId="16" fillId="0" borderId="160" xfId="2" applyFont="1" applyFill="1" applyBorder="1" applyAlignment="1" applyProtection="1">
      <alignment horizontal="right" vertical="center" shrinkToFit="1"/>
      <protection hidden="1"/>
    </xf>
    <xf numFmtId="38" fontId="16" fillId="0" borderId="0" xfId="2" applyFont="1" applyFill="1" applyBorder="1" applyAlignment="1" applyProtection="1">
      <alignment horizontal="right" vertical="center" shrinkToFit="1"/>
      <protection hidden="1"/>
    </xf>
    <xf numFmtId="38" fontId="16" fillId="0" borderId="159" xfId="2" applyFont="1" applyFill="1" applyBorder="1" applyAlignment="1" applyProtection="1">
      <alignment horizontal="right" vertical="center" shrinkToFit="1"/>
      <protection hidden="1"/>
    </xf>
    <xf numFmtId="38" fontId="16" fillId="0" borderId="156" xfId="2" applyFont="1" applyFill="1" applyBorder="1" applyAlignment="1" applyProtection="1">
      <alignment horizontal="right" vertical="center" shrinkToFit="1"/>
      <protection hidden="1"/>
    </xf>
    <xf numFmtId="38" fontId="16" fillId="0" borderId="157" xfId="2" applyFont="1" applyFill="1" applyBorder="1" applyAlignment="1" applyProtection="1">
      <alignment horizontal="right" vertical="center" shrinkToFit="1"/>
      <protection hidden="1"/>
    </xf>
    <xf numFmtId="38" fontId="16" fillId="0" borderId="158" xfId="2" applyFont="1" applyFill="1" applyBorder="1" applyAlignment="1" applyProtection="1">
      <alignment horizontal="right" vertical="center" shrinkToFit="1"/>
      <protection hidden="1"/>
    </xf>
    <xf numFmtId="0" fontId="4" fillId="0" borderId="0" xfId="0" applyFont="1" applyAlignment="1" applyProtection="1">
      <alignment horizontal="distributed" vertical="center" shrinkToFit="1"/>
      <protection hidden="1"/>
    </xf>
    <xf numFmtId="0" fontId="4" fillId="0" borderId="91" xfId="0" applyFont="1" applyBorder="1" applyAlignment="1" applyProtection="1">
      <alignment horizontal="distributed" vertical="center" shrinkToFit="1"/>
      <protection hidden="1"/>
    </xf>
    <xf numFmtId="38" fontId="23" fillId="0" borderId="101" xfId="2" applyFont="1" applyFill="1" applyBorder="1" applyAlignment="1" applyProtection="1">
      <alignment horizontal="center" vertical="center" wrapText="1" shrinkToFit="1"/>
      <protection hidden="1"/>
    </xf>
    <xf numFmtId="38" fontId="23" fillId="0" borderId="101" xfId="2" applyFont="1" applyFill="1" applyBorder="1" applyAlignment="1" applyProtection="1">
      <alignment horizontal="center" vertical="center" shrinkToFit="1"/>
      <protection hidden="1"/>
    </xf>
    <xf numFmtId="38" fontId="23" fillId="0" borderId="149" xfId="2" applyFont="1" applyFill="1" applyBorder="1" applyAlignment="1" applyProtection="1">
      <alignment horizontal="center" vertical="center" wrapText="1" shrinkToFit="1"/>
      <protection hidden="1"/>
    </xf>
    <xf numFmtId="38" fontId="23" fillId="0" borderId="149" xfId="2" applyFont="1" applyFill="1" applyBorder="1" applyAlignment="1" applyProtection="1">
      <alignment horizontal="center" vertical="center" shrinkToFit="1"/>
      <protection hidden="1"/>
    </xf>
    <xf numFmtId="191" fontId="24" fillId="0" borderId="101" xfId="2" applyNumberFormat="1" applyFont="1" applyFill="1" applyBorder="1" applyAlignment="1" applyProtection="1">
      <alignment horizontal="center" vertical="center"/>
      <protection hidden="1"/>
    </xf>
    <xf numFmtId="191" fontId="24" fillId="0" borderId="149" xfId="2" applyNumberFormat="1" applyFont="1" applyFill="1" applyBorder="1" applyAlignment="1" applyProtection="1">
      <alignment horizontal="center" vertical="center"/>
      <protection hidden="1"/>
    </xf>
    <xf numFmtId="38" fontId="7" fillId="0" borderId="101" xfId="2" applyFont="1" applyFill="1" applyBorder="1" applyAlignment="1" applyProtection="1">
      <alignment horizontal="center" vertical="center" wrapText="1" shrinkToFit="1"/>
      <protection hidden="1"/>
    </xf>
    <xf numFmtId="38" fontId="7" fillId="0" borderId="103" xfId="2" applyFont="1" applyFill="1" applyBorder="1" applyAlignment="1" applyProtection="1">
      <alignment horizontal="center" vertical="center" wrapText="1" shrinkToFit="1"/>
      <protection hidden="1"/>
    </xf>
    <xf numFmtId="38" fontId="7" fillId="0" borderId="149" xfId="2" applyFont="1" applyFill="1" applyBorder="1" applyAlignment="1" applyProtection="1">
      <alignment horizontal="center" vertical="center" wrapText="1" shrinkToFit="1"/>
      <protection hidden="1"/>
    </xf>
    <xf numFmtId="38" fontId="7" fillId="0" borderId="186" xfId="2" applyFont="1" applyFill="1" applyBorder="1" applyAlignment="1" applyProtection="1">
      <alignment horizontal="center" vertical="center" wrapText="1" shrinkToFit="1"/>
      <protection hidden="1"/>
    </xf>
    <xf numFmtId="38" fontId="16" fillId="0" borderId="149" xfId="2" applyFont="1" applyFill="1" applyBorder="1" applyAlignment="1" applyProtection="1">
      <alignment horizontal="center" vertical="center" shrinkToFit="1"/>
      <protection hidden="1"/>
    </xf>
    <xf numFmtId="38" fontId="16" fillId="0" borderId="65" xfId="2" applyFont="1" applyFill="1" applyBorder="1" applyAlignment="1" applyProtection="1">
      <alignment horizontal="right" vertical="center" shrinkToFit="1"/>
      <protection hidden="1"/>
    </xf>
    <xf numFmtId="38" fontId="16" fillId="0" borderId="137" xfId="2" applyFont="1" applyFill="1" applyBorder="1" applyAlignment="1" applyProtection="1">
      <alignment horizontal="right" vertical="center" shrinkToFit="1"/>
      <protection hidden="1"/>
    </xf>
    <xf numFmtId="0" fontId="23" fillId="0" borderId="177" xfId="0" applyFont="1" applyBorder="1" applyAlignment="1" applyProtection="1">
      <alignment horizontal="center" vertical="center" textRotation="255" wrapText="1" shrinkToFit="1"/>
      <protection hidden="1"/>
    </xf>
    <xf numFmtId="0" fontId="23" fillId="0" borderId="178" xfId="0" applyFont="1" applyBorder="1" applyAlignment="1" applyProtection="1">
      <alignment horizontal="center" vertical="center" textRotation="255" wrapText="1" shrinkToFit="1"/>
      <protection hidden="1"/>
    </xf>
    <xf numFmtId="0" fontId="23" fillId="0" borderId="179" xfId="0" applyFont="1" applyBorder="1" applyAlignment="1" applyProtection="1">
      <alignment horizontal="center" vertical="center" textRotation="255" wrapText="1" shrinkToFit="1"/>
      <protection hidden="1"/>
    </xf>
    <xf numFmtId="0" fontId="23" fillId="0" borderId="180" xfId="0" applyFont="1" applyBorder="1" applyAlignment="1" applyProtection="1">
      <alignment horizontal="center" vertical="center" textRotation="255" wrapText="1" shrinkToFit="1"/>
      <protection hidden="1"/>
    </xf>
    <xf numFmtId="0" fontId="23" fillId="0" borderId="181" xfId="0" applyFont="1" applyBorder="1" applyAlignment="1" applyProtection="1">
      <alignment horizontal="center" vertical="center" textRotation="255" wrapText="1" shrinkToFit="1"/>
      <protection hidden="1"/>
    </xf>
    <xf numFmtId="0" fontId="23" fillId="0" borderId="182" xfId="0" applyFont="1" applyBorder="1" applyAlignment="1" applyProtection="1">
      <alignment horizontal="center" vertical="center" textRotation="255" wrapText="1" shrinkToFit="1"/>
      <protection hidden="1"/>
    </xf>
    <xf numFmtId="0" fontId="23" fillId="0" borderId="207" xfId="0" applyFont="1" applyBorder="1" applyAlignment="1" applyProtection="1">
      <alignment horizontal="center" vertical="center" textRotation="255" wrapText="1" shrinkToFit="1"/>
      <protection hidden="1"/>
    </xf>
    <xf numFmtId="0" fontId="23" fillId="0" borderId="148" xfId="0" applyFont="1" applyBorder="1" applyAlignment="1" applyProtection="1">
      <alignment horizontal="center" vertical="center" textRotation="255" wrapText="1" shrinkToFit="1"/>
      <protection hidden="1"/>
    </xf>
    <xf numFmtId="0" fontId="23" fillId="0" borderId="205" xfId="0" applyFont="1" applyBorder="1" applyAlignment="1" applyProtection="1">
      <alignment horizontal="center" vertical="center" textRotation="255" wrapText="1" shrinkToFit="1"/>
      <protection hidden="1"/>
    </xf>
    <xf numFmtId="0" fontId="4" fillId="0" borderId="183" xfId="0" applyFont="1" applyBorder="1" applyAlignment="1" applyProtection="1">
      <alignment horizontal="center" vertical="center" wrapText="1" shrinkToFit="1"/>
      <protection hidden="1"/>
    </xf>
    <xf numFmtId="0" fontId="4" fillId="0" borderId="184" xfId="0" applyFont="1" applyBorder="1" applyAlignment="1" applyProtection="1">
      <alignment horizontal="center" vertical="center" wrapText="1" shrinkToFit="1"/>
      <protection hidden="1"/>
    </xf>
    <xf numFmtId="0" fontId="4" fillId="0" borderId="185" xfId="0" applyFont="1" applyBorder="1" applyAlignment="1" applyProtection="1">
      <alignment horizontal="center" vertical="center" wrapText="1" shrinkToFit="1"/>
      <protection hidden="1"/>
    </xf>
    <xf numFmtId="0" fontId="4" fillId="0" borderId="174" xfId="0" applyFont="1" applyBorder="1" applyAlignment="1" applyProtection="1">
      <alignment horizontal="center" vertical="center" shrinkToFit="1"/>
      <protection hidden="1"/>
    </xf>
    <xf numFmtId="0" fontId="4" fillId="0" borderId="146" xfId="0" applyFont="1" applyBorder="1" applyAlignment="1" applyProtection="1">
      <alignment horizontal="center" vertical="center" shrinkToFit="1"/>
      <protection hidden="1"/>
    </xf>
    <xf numFmtId="0" fontId="4" fillId="0" borderId="174" xfId="0" applyFont="1" applyBorder="1" applyAlignment="1" applyProtection="1">
      <alignment horizontal="distributed" vertical="center" shrinkToFit="1"/>
      <protection hidden="1"/>
    </xf>
    <xf numFmtId="0" fontId="23" fillId="0" borderId="176" xfId="0" applyFont="1" applyBorder="1" applyAlignment="1" applyProtection="1">
      <alignment horizontal="center" vertical="center" wrapText="1" shrinkToFit="1"/>
      <protection hidden="1"/>
    </xf>
    <xf numFmtId="0" fontId="23" fillId="0" borderId="176" xfId="0" applyFont="1" applyBorder="1" applyAlignment="1" applyProtection="1">
      <alignment horizontal="center" vertical="center" shrinkToFit="1"/>
      <protection hidden="1"/>
    </xf>
    <xf numFmtId="0" fontId="23" fillId="0" borderId="187" xfId="0" applyFont="1" applyBorder="1" applyAlignment="1" applyProtection="1">
      <alignment horizontal="center" vertical="center" shrinkToFit="1"/>
      <protection hidden="1"/>
    </xf>
    <xf numFmtId="191" fontId="24" fillId="0" borderId="176" xfId="0" applyNumberFormat="1" applyFont="1" applyBorder="1" applyAlignment="1" applyProtection="1">
      <alignment horizontal="center" vertical="center"/>
      <protection hidden="1"/>
    </xf>
    <xf numFmtId="191" fontId="24" fillId="0" borderId="187" xfId="0" applyNumberFormat="1" applyFont="1" applyBorder="1" applyAlignment="1" applyProtection="1">
      <alignment horizontal="center" vertical="center"/>
      <protection hidden="1"/>
    </xf>
    <xf numFmtId="38" fontId="16" fillId="0" borderId="139" xfId="2" applyFont="1" applyFill="1" applyBorder="1" applyAlignment="1" applyProtection="1">
      <alignment horizontal="center" vertical="center" shrinkToFit="1"/>
      <protection hidden="1"/>
    </xf>
    <xf numFmtId="0" fontId="4" fillId="0" borderId="176" xfId="0" applyFont="1" applyBorder="1" applyAlignment="1" applyProtection="1">
      <alignment horizontal="center" vertical="center" shrinkToFit="1"/>
      <protection hidden="1"/>
    </xf>
    <xf numFmtId="0" fontId="4" fillId="0" borderId="186" xfId="0" applyFont="1" applyBorder="1" applyAlignment="1" applyProtection="1">
      <alignment horizontal="center" vertical="center" shrinkToFit="1"/>
      <protection hidden="1"/>
    </xf>
    <xf numFmtId="38" fontId="16" fillId="0" borderId="176" xfId="2" applyFont="1" applyFill="1" applyBorder="1" applyAlignment="1" applyProtection="1">
      <alignment horizontal="center" vertical="center" shrinkToFit="1"/>
      <protection hidden="1"/>
    </xf>
    <xf numFmtId="188" fontId="23" fillId="0" borderId="14" xfId="0" applyNumberFormat="1" applyFont="1" applyBorder="1" applyAlignment="1">
      <alignment horizontal="center" vertical="center" shrinkToFit="1"/>
    </xf>
    <xf numFmtId="188" fontId="23" fillId="0" borderId="0" xfId="0" applyNumberFormat="1" applyFont="1" applyAlignment="1">
      <alignment horizontal="center" vertical="center" shrinkToFit="1"/>
    </xf>
    <xf numFmtId="188" fontId="23" fillId="0" borderId="145" xfId="0" applyNumberFormat="1" applyFont="1" applyBorder="1" applyAlignment="1">
      <alignment horizontal="center" vertical="center" shrinkToFit="1"/>
    </xf>
    <xf numFmtId="0" fontId="4" fillId="0" borderId="176" xfId="0" applyFont="1" applyBorder="1" applyAlignment="1" applyProtection="1">
      <alignment horizontal="center" vertical="center" wrapText="1" shrinkToFit="1"/>
      <protection hidden="1"/>
    </xf>
    <xf numFmtId="0" fontId="4" fillId="0" borderId="149" xfId="0" applyFont="1" applyBorder="1" applyAlignment="1" applyProtection="1">
      <alignment horizontal="center" vertical="center" shrinkToFit="1"/>
      <protection hidden="1"/>
    </xf>
    <xf numFmtId="0" fontId="4" fillId="0" borderId="14" xfId="0" applyFont="1" applyBorder="1" applyAlignment="1" applyProtection="1">
      <alignment horizontal="center" vertical="center" wrapText="1" shrinkToFit="1"/>
      <protection hidden="1"/>
    </xf>
    <xf numFmtId="0" fontId="4" fillId="0" borderId="0" xfId="0" applyFont="1" applyAlignment="1" applyProtection="1">
      <alignment horizontal="center" vertical="center" wrapText="1" shrinkToFit="1"/>
      <protection hidden="1"/>
    </xf>
    <xf numFmtId="0" fontId="4" fillId="0" borderId="145" xfId="0" applyFont="1" applyBorder="1" applyAlignment="1" applyProtection="1">
      <alignment horizontal="center" vertical="center" wrapText="1" shrinkToFit="1"/>
      <protection hidden="1"/>
    </xf>
    <xf numFmtId="0" fontId="4" fillId="0" borderId="103" xfId="0" applyFont="1" applyBorder="1" applyAlignment="1" applyProtection="1">
      <alignment horizontal="center" vertical="center" wrapText="1" shrinkToFit="1"/>
      <protection hidden="1"/>
    </xf>
    <xf numFmtId="0" fontId="4" fillId="0" borderId="65" xfId="0" applyFont="1" applyBorder="1" applyAlignment="1" applyProtection="1">
      <alignment horizontal="center" vertical="center" wrapText="1" shrinkToFit="1"/>
      <protection hidden="1"/>
    </xf>
    <xf numFmtId="0" fontId="4" fillId="0" borderId="137" xfId="0" applyFont="1" applyBorder="1" applyAlignment="1" applyProtection="1">
      <alignment horizontal="center" vertical="center" wrapText="1" shrinkToFit="1"/>
      <protection hidden="1"/>
    </xf>
    <xf numFmtId="0" fontId="4" fillId="0" borderId="138" xfId="0" applyFont="1" applyBorder="1" applyAlignment="1" applyProtection="1">
      <alignment horizontal="center" vertical="center" shrinkToFit="1"/>
      <protection hidden="1"/>
    </xf>
    <xf numFmtId="0" fontId="4" fillId="0" borderId="91" xfId="0" applyFont="1" applyBorder="1" applyAlignment="1" applyProtection="1">
      <alignment horizontal="center" vertical="center" shrinkToFit="1"/>
      <protection hidden="1"/>
    </xf>
    <xf numFmtId="0" fontId="4" fillId="0" borderId="93" xfId="0" applyFont="1" applyBorder="1" applyAlignment="1" applyProtection="1">
      <alignment horizontal="center" vertical="center" shrinkToFit="1"/>
      <protection hidden="1"/>
    </xf>
    <xf numFmtId="0" fontId="8" fillId="0" borderId="186" xfId="0" applyFont="1" applyBorder="1" applyAlignment="1">
      <alignment horizontal="distributed" vertical="center" wrapText="1"/>
    </xf>
    <xf numFmtId="0" fontId="8" fillId="0" borderId="188" xfId="0" applyFont="1" applyBorder="1" applyAlignment="1">
      <alignment horizontal="distributed" vertical="center" wrapText="1"/>
    </xf>
    <xf numFmtId="0" fontId="8" fillId="0" borderId="189" xfId="0" applyFont="1" applyBorder="1" applyAlignment="1">
      <alignment horizontal="distributed" vertical="center" wrapText="1"/>
    </xf>
    <xf numFmtId="0" fontId="4" fillId="0" borderId="187" xfId="0" applyFont="1" applyBorder="1" applyAlignment="1" applyProtection="1">
      <alignment horizontal="center" vertical="center" wrapText="1" shrinkToFit="1"/>
      <protection hidden="1"/>
    </xf>
    <xf numFmtId="38" fontId="16" fillId="0" borderId="187" xfId="2" applyFont="1" applyFill="1" applyBorder="1" applyAlignment="1" applyProtection="1">
      <alignment horizontal="center" vertical="center" shrinkToFit="1"/>
      <protection hidden="1"/>
    </xf>
    <xf numFmtId="0" fontId="4" fillId="0" borderId="187" xfId="0" applyFont="1" applyBorder="1" applyAlignment="1" applyProtection="1">
      <alignment horizontal="center" vertical="center" shrinkToFit="1"/>
      <protection hidden="1"/>
    </xf>
    <xf numFmtId="0" fontId="4" fillId="0" borderId="197" xfId="0" applyFont="1" applyBorder="1" applyAlignment="1" applyProtection="1">
      <alignment horizontal="center" vertical="center" shrinkToFit="1"/>
      <protection hidden="1"/>
    </xf>
    <xf numFmtId="0" fontId="6" fillId="0" borderId="189" xfId="0" applyFont="1" applyBorder="1" applyAlignment="1" applyProtection="1">
      <alignment horizontal="distributed" vertical="center" indent="4"/>
      <protection hidden="1"/>
    </xf>
    <xf numFmtId="0" fontId="6" fillId="0" borderId="176" xfId="0" applyFont="1" applyBorder="1" applyAlignment="1" applyProtection="1">
      <alignment horizontal="distributed" vertical="center" indent="4"/>
      <protection hidden="1"/>
    </xf>
    <xf numFmtId="0" fontId="6" fillId="0" borderId="189" xfId="0" applyFont="1" applyBorder="1" applyAlignment="1" applyProtection="1">
      <alignment horizontal="center" vertical="distributed" textRotation="255"/>
      <protection hidden="1"/>
    </xf>
    <xf numFmtId="0" fontId="6" fillId="0" borderId="176" xfId="0" applyFont="1" applyBorder="1" applyAlignment="1" applyProtection="1">
      <alignment horizontal="center" vertical="distributed" textRotation="255"/>
      <protection hidden="1"/>
    </xf>
    <xf numFmtId="0" fontId="6" fillId="0" borderId="176" xfId="0" applyFont="1" applyBorder="1" applyAlignment="1" applyProtection="1">
      <alignment horizontal="center" vertical="center" textRotation="255" shrinkToFit="1"/>
      <protection hidden="1"/>
    </xf>
    <xf numFmtId="0" fontId="6" fillId="0" borderId="176" xfId="0" applyFont="1" applyBorder="1" applyAlignment="1" applyProtection="1">
      <alignment vertical="distributed" textRotation="255" wrapText="1"/>
      <protection hidden="1"/>
    </xf>
    <xf numFmtId="0" fontId="6" fillId="0" borderId="186" xfId="0" applyFont="1" applyBorder="1" applyAlignment="1" applyProtection="1">
      <alignment vertical="distributed" textRotation="255" wrapText="1"/>
      <protection hidden="1"/>
    </xf>
    <xf numFmtId="0" fontId="6" fillId="0" borderId="208" xfId="0" applyFont="1" applyBorder="1" applyAlignment="1" applyProtection="1">
      <alignment horizontal="center" vertical="center" shrinkToFit="1"/>
      <protection hidden="1"/>
    </xf>
    <xf numFmtId="0" fontId="6" fillId="0" borderId="209" xfId="0" applyFont="1" applyBorder="1" applyAlignment="1" applyProtection="1">
      <alignment horizontal="center" vertical="center" shrinkToFit="1"/>
      <protection hidden="1"/>
    </xf>
    <xf numFmtId="0" fontId="6" fillId="0" borderId="209" xfId="0" applyFont="1" applyBorder="1" applyAlignment="1" applyProtection="1">
      <alignment horizontal="center" vertical="distributed" textRotation="255" wrapText="1"/>
      <protection hidden="1"/>
    </xf>
    <xf numFmtId="0" fontId="6" fillId="0" borderId="176" xfId="0" applyFont="1" applyBorder="1" applyAlignment="1" applyProtection="1">
      <alignment horizontal="center" vertical="distributed" textRotation="255" wrapText="1"/>
      <protection hidden="1"/>
    </xf>
    <xf numFmtId="0" fontId="6" fillId="0" borderId="176" xfId="0" applyFont="1" applyBorder="1" applyAlignment="1" applyProtection="1">
      <alignment horizontal="center" vertical="center"/>
      <protection hidden="1"/>
    </xf>
    <xf numFmtId="0" fontId="6" fillId="0" borderId="0" xfId="0" applyFont="1" applyAlignment="1" applyProtection="1">
      <alignment horizontal="center" vertical="top" textRotation="255" shrinkToFit="1"/>
      <protection hidden="1"/>
    </xf>
    <xf numFmtId="0" fontId="6" fillId="0" borderId="211" xfId="0" applyFont="1" applyBorder="1" applyAlignment="1" applyProtection="1">
      <alignment horizontal="center" vertical="center"/>
      <protection hidden="1"/>
    </xf>
    <xf numFmtId="0" fontId="6" fillId="0" borderId="212" xfId="0" applyFont="1" applyBorder="1" applyAlignment="1" applyProtection="1">
      <alignment horizontal="center" vertical="center"/>
      <protection hidden="1"/>
    </xf>
    <xf numFmtId="0" fontId="24" fillId="0" borderId="214" xfId="0" applyFont="1" applyBorder="1" applyAlignment="1" applyProtection="1">
      <alignment horizontal="center" vertical="center"/>
      <protection hidden="1"/>
    </xf>
    <xf numFmtId="0" fontId="24" fillId="0" borderId="213" xfId="0" applyFont="1" applyBorder="1" applyAlignment="1" applyProtection="1">
      <alignment horizontal="center" vertical="center" shrinkToFit="1"/>
      <protection hidden="1"/>
    </xf>
    <xf numFmtId="0" fontId="24" fillId="0" borderId="214" xfId="0" applyFont="1" applyBorder="1" applyAlignment="1" applyProtection="1">
      <alignment horizontal="center" vertical="center" shrinkToFit="1"/>
      <protection hidden="1"/>
    </xf>
    <xf numFmtId="0" fontId="6" fillId="0" borderId="211" xfId="0" applyFont="1" applyBorder="1" applyAlignment="1" applyProtection="1">
      <alignment vertical="distributed" textRotation="255" wrapText="1"/>
      <protection hidden="1"/>
    </xf>
    <xf numFmtId="0" fontId="6" fillId="0" borderId="209" xfId="0" applyFont="1" applyBorder="1" applyAlignment="1" applyProtection="1">
      <alignment horizontal="center" vertical="center" textRotation="255" shrinkToFit="1"/>
      <protection hidden="1"/>
    </xf>
    <xf numFmtId="0" fontId="6" fillId="0" borderId="216" xfId="0" applyFont="1" applyBorder="1" applyAlignment="1" applyProtection="1">
      <alignment horizontal="distributed" vertical="distributed" wrapText="1"/>
      <protection hidden="1"/>
    </xf>
    <xf numFmtId="0" fontId="6" fillId="0" borderId="217" xfId="0" applyFont="1" applyBorder="1" applyAlignment="1" applyProtection="1">
      <alignment horizontal="distributed" vertical="distributed" wrapText="1"/>
      <protection hidden="1"/>
    </xf>
    <xf numFmtId="0" fontId="6" fillId="0" borderId="206" xfId="0" applyFont="1" applyBorder="1" applyAlignment="1" applyProtection="1">
      <alignment horizontal="distributed" vertical="distributed" wrapText="1"/>
      <protection hidden="1"/>
    </xf>
    <xf numFmtId="0" fontId="6" fillId="0" borderId="218" xfId="0" applyFont="1" applyBorder="1" applyAlignment="1" applyProtection="1">
      <alignment horizontal="distributed" vertical="distributed" wrapText="1"/>
      <protection hidden="1"/>
    </xf>
    <xf numFmtId="0" fontId="6" fillId="0" borderId="219" xfId="0" applyFont="1" applyBorder="1" applyAlignment="1" applyProtection="1">
      <alignment horizontal="distributed" vertical="distributed" wrapText="1"/>
      <protection hidden="1"/>
    </xf>
    <xf numFmtId="0" fontId="6" fillId="0" borderId="220" xfId="0" applyFont="1" applyBorder="1" applyAlignment="1" applyProtection="1">
      <alignment horizontal="distributed" vertical="distributed" wrapText="1"/>
      <protection hidden="1"/>
    </xf>
    <xf numFmtId="0" fontId="6" fillId="0" borderId="208" xfId="0" applyFont="1" applyBorder="1" applyAlignment="1" applyProtection="1">
      <alignment horizontal="center" vertical="center"/>
      <protection hidden="1"/>
    </xf>
    <xf numFmtId="0" fontId="6" fillId="0" borderId="209" xfId="0" applyFont="1" applyBorder="1" applyAlignment="1" applyProtection="1">
      <alignment horizontal="center" vertical="center"/>
      <protection hidden="1"/>
    </xf>
    <xf numFmtId="0" fontId="6" fillId="0" borderId="210" xfId="0" applyFont="1" applyBorder="1" applyAlignment="1" applyProtection="1">
      <alignment horizontal="center" vertical="center"/>
      <protection hidden="1"/>
    </xf>
    <xf numFmtId="0" fontId="6" fillId="0" borderId="208" xfId="0" applyFont="1" applyBorder="1" applyAlignment="1" applyProtection="1">
      <alignment horizontal="center" vertical="center" textRotation="255" shrinkToFit="1"/>
      <protection hidden="1"/>
    </xf>
    <xf numFmtId="0" fontId="6" fillId="0" borderId="210" xfId="0" applyFont="1" applyBorder="1" applyAlignment="1" applyProtection="1">
      <alignment horizontal="center" vertical="center" textRotation="255" shrinkToFit="1"/>
      <protection hidden="1"/>
    </xf>
    <xf numFmtId="0" fontId="6" fillId="0" borderId="211" xfId="0" applyFont="1" applyBorder="1" applyAlignment="1" applyProtection="1">
      <alignment horizontal="center" vertical="center" textRotation="255" shrinkToFit="1"/>
      <protection hidden="1"/>
    </xf>
    <xf numFmtId="0" fontId="6" fillId="0" borderId="212" xfId="0" applyFont="1" applyBorder="1" applyAlignment="1" applyProtection="1">
      <alignment horizontal="center" vertical="center" textRotation="255" shrinkToFit="1"/>
      <protection hidden="1"/>
    </xf>
    <xf numFmtId="0" fontId="15" fillId="0" borderId="101" xfId="0" applyFont="1" applyBorder="1" applyAlignment="1" applyProtection="1">
      <alignment horizontal="center" vertical="center"/>
      <protection hidden="1"/>
    </xf>
    <xf numFmtId="0" fontId="6" fillId="0" borderId="176" xfId="0" applyFont="1" applyBorder="1" applyAlignment="1" applyProtection="1">
      <alignment horizontal="center" vertical="distributed" textRotation="255" justifyLastLine="1"/>
      <protection hidden="1"/>
    </xf>
    <xf numFmtId="0" fontId="7" fillId="0" borderId="176" xfId="0" applyFont="1" applyBorder="1" applyAlignment="1" applyProtection="1">
      <alignment horizontal="distributed" vertical="center" wrapText="1"/>
      <protection hidden="1"/>
    </xf>
    <xf numFmtId="0" fontId="6" fillId="0" borderId="189" xfId="0" applyFont="1" applyBorder="1" applyAlignment="1" applyProtection="1">
      <alignment horizontal="center" vertical="center"/>
      <protection hidden="1"/>
    </xf>
    <xf numFmtId="180" fontId="24" fillId="0" borderId="176" xfId="0" applyNumberFormat="1" applyFont="1" applyBorder="1" applyAlignment="1" applyProtection="1">
      <alignment horizontal="center" vertical="center"/>
      <protection hidden="1"/>
    </xf>
    <xf numFmtId="179" fontId="24" fillId="0" borderId="214" xfId="0" applyNumberFormat="1" applyFont="1" applyBorder="1" applyAlignment="1" applyProtection="1">
      <alignment horizontal="center" vertical="center" shrinkToFit="1"/>
      <protection hidden="1"/>
    </xf>
    <xf numFmtId="180" fontId="24" fillId="0" borderId="214" xfId="0" applyNumberFormat="1" applyFont="1" applyBorder="1" applyAlignment="1" applyProtection="1">
      <alignment horizontal="center" vertical="center" shrinkToFit="1"/>
      <protection hidden="1"/>
    </xf>
    <xf numFmtId="180" fontId="24" fillId="0" borderId="215" xfId="0" applyNumberFormat="1" applyFont="1" applyBorder="1" applyAlignment="1" applyProtection="1">
      <alignment horizontal="center" vertical="center" shrinkToFit="1"/>
      <protection hidden="1"/>
    </xf>
    <xf numFmtId="190" fontId="24" fillId="0" borderId="189" xfId="0" applyNumberFormat="1" applyFont="1" applyBorder="1" applyAlignment="1" applyProtection="1">
      <alignment horizontal="center" vertical="center" shrinkToFit="1"/>
      <protection hidden="1"/>
    </xf>
    <xf numFmtId="190" fontId="24" fillId="0" borderId="176" xfId="0" applyNumberFormat="1" applyFont="1" applyBorder="1" applyAlignment="1" applyProtection="1">
      <alignment horizontal="center" vertical="center" shrinkToFit="1"/>
      <protection hidden="1"/>
    </xf>
    <xf numFmtId="178" fontId="24" fillId="0" borderId="176" xfId="0" applyNumberFormat="1" applyFont="1" applyBorder="1" applyAlignment="1" applyProtection="1">
      <alignment horizontal="center" vertical="center"/>
      <protection hidden="1"/>
    </xf>
    <xf numFmtId="0" fontId="24" fillId="0" borderId="213" xfId="0" applyFont="1" applyBorder="1" applyAlignment="1" applyProtection="1">
      <alignment horizontal="center" vertical="center"/>
      <protection hidden="1"/>
    </xf>
    <xf numFmtId="0" fontId="24" fillId="0" borderId="215" xfId="0" applyFont="1" applyBorder="1" applyAlignment="1" applyProtection="1">
      <alignment horizontal="center" vertical="center"/>
      <protection hidden="1"/>
    </xf>
    <xf numFmtId="0" fontId="24" fillId="0" borderId="189" xfId="0" applyFont="1" applyBorder="1" applyAlignment="1" applyProtection="1">
      <alignment horizontal="center" vertical="center"/>
      <protection hidden="1"/>
    </xf>
    <xf numFmtId="0" fontId="24" fillId="0" borderId="176" xfId="0" applyFont="1" applyBorder="1" applyAlignment="1" applyProtection="1">
      <alignment horizontal="center" vertical="center"/>
      <protection hidden="1"/>
    </xf>
    <xf numFmtId="0" fontId="24" fillId="0" borderId="187" xfId="0" applyFont="1" applyBorder="1" applyAlignment="1" applyProtection="1">
      <alignment horizontal="center" vertical="center"/>
      <protection hidden="1"/>
    </xf>
    <xf numFmtId="0" fontId="24" fillId="0" borderId="197" xfId="0" applyFont="1" applyBorder="1" applyAlignment="1" applyProtection="1">
      <alignment horizontal="center" vertical="center"/>
      <protection hidden="1"/>
    </xf>
    <xf numFmtId="0" fontId="24" fillId="0" borderId="213" xfId="0" applyFont="1" applyBorder="1" applyAlignment="1">
      <alignment horizontal="center" vertical="center"/>
    </xf>
    <xf numFmtId="0" fontId="24" fillId="0" borderId="214" xfId="0" applyFont="1" applyBorder="1" applyAlignment="1">
      <alignment horizontal="center" vertical="center"/>
    </xf>
    <xf numFmtId="1" fontId="53" fillId="0" borderId="0" xfId="0" applyNumberFormat="1" applyFont="1" applyAlignment="1">
      <alignment horizontal="center" vertical="center" shrinkToFit="1"/>
    </xf>
    <xf numFmtId="0" fontId="35" fillId="0" borderId="20" xfId="0" applyFont="1" applyBorder="1" applyAlignment="1" applyProtection="1">
      <alignment horizontal="distributed" vertical="center"/>
      <protection hidden="1"/>
    </xf>
    <xf numFmtId="0" fontId="23" fillId="0" borderId="176" xfId="0" applyFont="1" applyBorder="1" applyAlignment="1" applyProtection="1">
      <alignment horizontal="distributed" vertical="center"/>
      <protection hidden="1"/>
    </xf>
    <xf numFmtId="0" fontId="22" fillId="0" borderId="103" xfId="0" applyFont="1" applyBorder="1" applyAlignment="1" applyProtection="1">
      <alignment horizontal="left" vertical="center" indent="1"/>
      <protection hidden="1"/>
    </xf>
    <xf numFmtId="0" fontId="22" fillId="0" borderId="65" xfId="0" applyFont="1" applyBorder="1" applyAlignment="1" applyProtection="1">
      <alignment horizontal="left" vertical="center" indent="1"/>
      <protection hidden="1"/>
    </xf>
    <xf numFmtId="0" fontId="23" fillId="0" borderId="65" xfId="0" applyFont="1" applyBorder="1" applyProtection="1">
      <protection hidden="1"/>
    </xf>
    <xf numFmtId="1" fontId="24" fillId="0" borderId="65" xfId="0" applyNumberFormat="1" applyFont="1" applyBorder="1" applyAlignment="1" applyProtection="1">
      <alignment horizontal="left" vertical="center" indent="1" shrinkToFit="1"/>
      <protection hidden="1"/>
    </xf>
    <xf numFmtId="1" fontId="24" fillId="0" borderId="137" xfId="0" applyNumberFormat="1" applyFont="1" applyBorder="1" applyAlignment="1" applyProtection="1">
      <alignment horizontal="left" vertical="center" indent="1" shrinkToFit="1"/>
      <protection hidden="1"/>
    </xf>
    <xf numFmtId="1" fontId="16" fillId="0" borderId="107" xfId="0" applyNumberFormat="1" applyFont="1" applyBorder="1" applyAlignment="1" applyProtection="1">
      <alignment horizontal="distributed" vertical="center" justifyLastLine="1"/>
      <protection hidden="1"/>
    </xf>
    <xf numFmtId="1" fontId="16" fillId="0" borderId="3" xfId="0" applyNumberFormat="1" applyFont="1" applyBorder="1" applyAlignment="1" applyProtection="1">
      <alignment horizontal="distributed" vertical="center" justifyLastLine="1"/>
      <protection hidden="1"/>
    </xf>
    <xf numFmtId="1" fontId="16" fillId="0" borderId="4" xfId="0" applyNumberFormat="1" applyFont="1" applyBorder="1" applyAlignment="1" applyProtection="1">
      <alignment horizontal="distributed" vertical="center" justifyLastLine="1"/>
      <protection hidden="1"/>
    </xf>
    <xf numFmtId="1" fontId="22" fillId="0" borderId="107" xfId="0" applyNumberFormat="1" applyFont="1" applyBorder="1" applyAlignment="1" applyProtection="1">
      <alignment horizontal="distributed" vertical="center" justifyLastLine="1"/>
      <protection hidden="1"/>
    </xf>
    <xf numFmtId="1" fontId="22" fillId="0" borderId="108" xfId="0" applyNumberFormat="1" applyFont="1" applyBorder="1" applyAlignment="1" applyProtection="1">
      <alignment horizontal="distributed" vertical="center" justifyLastLine="1"/>
      <protection hidden="1"/>
    </xf>
    <xf numFmtId="38" fontId="24" fillId="0" borderId="214" xfId="2" applyFont="1" applyBorder="1" applyAlignment="1" applyProtection="1">
      <alignment horizontal="center" vertical="center" shrinkToFit="1"/>
      <protection hidden="1"/>
    </xf>
    <xf numFmtId="0" fontId="23" fillId="0" borderId="176" xfId="0" applyFont="1" applyBorder="1" applyAlignment="1" applyProtection="1">
      <alignment horizontal="distributed" vertical="center" wrapText="1"/>
      <protection hidden="1"/>
    </xf>
    <xf numFmtId="0" fontId="22" fillId="0" borderId="186" xfId="0" applyFont="1" applyBorder="1" applyAlignment="1" applyProtection="1">
      <alignment horizontal="left" vertical="center" indent="1"/>
      <protection hidden="1"/>
    </xf>
    <xf numFmtId="0" fontId="22" fillId="0" borderId="188" xfId="0" applyFont="1" applyBorder="1" applyAlignment="1" applyProtection="1">
      <alignment horizontal="left" vertical="center" indent="1"/>
      <protection hidden="1"/>
    </xf>
    <xf numFmtId="0" fontId="22" fillId="0" borderId="189" xfId="0" applyFont="1" applyBorder="1" applyAlignment="1" applyProtection="1">
      <alignment horizontal="left" vertical="center" indent="1"/>
      <protection hidden="1"/>
    </xf>
    <xf numFmtId="0" fontId="15" fillId="0" borderId="176" xfId="0" applyFont="1" applyBorder="1" applyAlignment="1" applyProtection="1">
      <alignment horizontal="center" vertical="center"/>
      <protection hidden="1"/>
    </xf>
    <xf numFmtId="179" fontId="24" fillId="0" borderId="176" xfId="0" applyNumberFormat="1" applyFont="1" applyBorder="1" applyAlignment="1" applyProtection="1">
      <alignment horizontal="center" vertical="center"/>
      <protection hidden="1"/>
    </xf>
    <xf numFmtId="0" fontId="6" fillId="0" borderId="106" xfId="0" applyFont="1" applyBorder="1" applyAlignment="1" applyProtection="1">
      <alignment horizontal="distributed" vertical="center" justifyLastLine="1"/>
      <protection hidden="1"/>
    </xf>
    <xf numFmtId="0" fontId="6" fillId="0" borderId="107" xfId="0" applyFont="1" applyBorder="1" applyAlignment="1" applyProtection="1">
      <alignment horizontal="distributed" vertical="center" justifyLastLine="1"/>
      <protection hidden="1"/>
    </xf>
    <xf numFmtId="0" fontId="6" fillId="0" borderId="108" xfId="0" applyFont="1" applyBorder="1" applyAlignment="1" applyProtection="1">
      <alignment horizontal="distributed" vertical="center" justifyLastLine="1"/>
      <protection hidden="1"/>
    </xf>
    <xf numFmtId="0" fontId="23" fillId="0" borderId="106" xfId="0" applyFont="1" applyBorder="1" applyAlignment="1" applyProtection="1">
      <alignment horizontal="distributed" vertical="center" wrapText="1" justifyLastLine="1"/>
      <protection hidden="1"/>
    </xf>
    <xf numFmtId="0" fontId="23" fillId="0" borderId="107" xfId="0" applyFont="1" applyBorder="1" applyAlignment="1" applyProtection="1">
      <alignment horizontal="distributed" vertical="center" wrapText="1" justifyLastLine="1"/>
      <protection hidden="1"/>
    </xf>
    <xf numFmtId="0" fontId="23" fillId="0" borderId="108" xfId="0" applyFont="1" applyBorder="1" applyAlignment="1" applyProtection="1">
      <alignment horizontal="distributed" vertical="center" wrapText="1" justifyLastLine="1"/>
      <protection hidden="1"/>
    </xf>
    <xf numFmtId="0" fontId="6" fillId="0" borderId="106" xfId="0" applyFont="1" applyBorder="1" applyAlignment="1" applyProtection="1">
      <alignment horizontal="center" vertical="center" justifyLastLine="1"/>
      <protection hidden="1"/>
    </xf>
    <xf numFmtId="0" fontId="6" fillId="0" borderId="107" xfId="0" applyFont="1" applyBorder="1" applyAlignment="1" applyProtection="1">
      <alignment horizontal="center" vertical="center" justifyLastLine="1"/>
      <protection hidden="1"/>
    </xf>
    <xf numFmtId="0" fontId="6" fillId="0" borderId="108" xfId="0" applyFont="1" applyBorder="1" applyAlignment="1" applyProtection="1">
      <alignment horizontal="center" vertical="center" justifyLastLine="1"/>
      <protection hidden="1"/>
    </xf>
    <xf numFmtId="0" fontId="6" fillId="0" borderId="104" xfId="0" applyFont="1" applyBorder="1" applyAlignment="1" applyProtection="1">
      <alignment horizontal="center" vertical="distributed" textRotation="255" justifyLastLine="1"/>
      <protection hidden="1"/>
    </xf>
    <xf numFmtId="0" fontId="6" fillId="0" borderId="49" xfId="0" applyFont="1" applyBorder="1" applyAlignment="1" applyProtection="1">
      <alignment horizontal="center" vertical="distributed" textRotation="255" justifyLastLine="1"/>
      <protection hidden="1"/>
    </xf>
    <xf numFmtId="0" fontId="6" fillId="0" borderId="62" xfId="0" applyFont="1" applyBorder="1" applyAlignment="1" applyProtection="1">
      <alignment horizontal="center" vertical="distributed" textRotation="255" justifyLastLine="1"/>
      <protection hidden="1"/>
    </xf>
    <xf numFmtId="0" fontId="6" fillId="0" borderId="95" xfId="0" applyFont="1" applyBorder="1" applyAlignment="1" applyProtection="1">
      <alignment horizontal="center" vertical="distributed" textRotation="255" justifyLastLine="1"/>
      <protection hidden="1"/>
    </xf>
    <xf numFmtId="0" fontId="6" fillId="0" borderId="43" xfId="0" applyFont="1" applyBorder="1" applyAlignment="1" applyProtection="1">
      <alignment horizontal="center" vertical="distributed" textRotation="255" justifyLastLine="1"/>
      <protection hidden="1"/>
    </xf>
    <xf numFmtId="0" fontId="6" fillId="0" borderId="96" xfId="0" applyFont="1" applyBorder="1" applyAlignment="1" applyProtection="1">
      <alignment horizontal="center" vertical="distributed" textRotation="255" justifyLastLine="1"/>
      <protection hidden="1"/>
    </xf>
    <xf numFmtId="0" fontId="23" fillId="0" borderId="106" xfId="0" applyFont="1" applyBorder="1" applyAlignment="1" applyProtection="1">
      <alignment vertical="top" shrinkToFit="1"/>
      <protection hidden="1"/>
    </xf>
    <xf numFmtId="0" fontId="23" fillId="0" borderId="107" xfId="0" applyFont="1" applyBorder="1" applyAlignment="1" applyProtection="1">
      <alignment vertical="top" shrinkToFit="1"/>
      <protection hidden="1"/>
    </xf>
    <xf numFmtId="0" fontId="23" fillId="0" borderId="30" xfId="0" applyFont="1" applyBorder="1" applyAlignment="1" applyProtection="1">
      <alignment vertical="top"/>
      <protection hidden="1"/>
    </xf>
    <xf numFmtId="0" fontId="23" fillId="0" borderId="24" xfId="0" applyFont="1" applyBorder="1" applyAlignment="1" applyProtection="1">
      <alignment vertical="top"/>
      <protection hidden="1"/>
    </xf>
    <xf numFmtId="0" fontId="23" fillId="0" borderId="25" xfId="0" applyFont="1" applyBorder="1" applyAlignment="1" applyProtection="1">
      <alignment vertical="top"/>
      <protection hidden="1"/>
    </xf>
    <xf numFmtId="0" fontId="23" fillId="0" borderId="106" xfId="0" applyFont="1" applyBorder="1" applyAlignment="1" applyProtection="1">
      <alignment vertical="top"/>
      <protection hidden="1"/>
    </xf>
    <xf numFmtId="0" fontId="23" fillId="0" borderId="107" xfId="0" applyFont="1" applyBorder="1" applyAlignment="1" applyProtection="1">
      <alignment vertical="top"/>
      <protection hidden="1"/>
    </xf>
    <xf numFmtId="1" fontId="16" fillId="0" borderId="107" xfId="0" applyNumberFormat="1" applyFont="1" applyBorder="1" applyAlignment="1" applyProtection="1">
      <alignment horizontal="left" vertical="center" shrinkToFit="1"/>
      <protection hidden="1"/>
    </xf>
    <xf numFmtId="1" fontId="16" fillId="0" borderId="108" xfId="0" applyNumberFormat="1" applyFont="1" applyBorder="1" applyAlignment="1" applyProtection="1">
      <alignment horizontal="left" vertical="center" shrinkToFit="1"/>
      <protection hidden="1"/>
    </xf>
    <xf numFmtId="0" fontId="22" fillId="0" borderId="104" xfId="0" applyFont="1" applyBorder="1" applyAlignment="1" applyProtection="1">
      <alignment horizontal="left" vertical="center" wrapText="1" indent="1"/>
      <protection hidden="1"/>
    </xf>
    <xf numFmtId="0" fontId="22" fillId="0" borderId="49" xfId="0" applyFont="1" applyBorder="1" applyAlignment="1" applyProtection="1">
      <alignment horizontal="left" vertical="center" wrapText="1" indent="1"/>
      <protection hidden="1"/>
    </xf>
    <xf numFmtId="0" fontId="22" fillId="0" borderId="62" xfId="0" applyFont="1" applyBorder="1" applyAlignment="1" applyProtection="1">
      <alignment horizontal="left" vertical="center" wrapText="1" indent="1"/>
      <protection hidden="1"/>
    </xf>
    <xf numFmtId="0" fontId="22" fillId="0" borderId="40" xfId="0" applyFont="1" applyBorder="1" applyAlignment="1" applyProtection="1">
      <alignment horizontal="left" vertical="center" wrapText="1" indent="1"/>
      <protection hidden="1"/>
    </xf>
    <xf numFmtId="0" fontId="22" fillId="0" borderId="41" xfId="0" applyFont="1" applyBorder="1" applyAlignment="1" applyProtection="1">
      <alignment horizontal="left" vertical="center" wrapText="1" indent="1"/>
      <protection hidden="1"/>
    </xf>
    <xf numFmtId="0" fontId="22" fillId="0" borderId="95" xfId="0" applyFont="1" applyBorder="1" applyAlignment="1" applyProtection="1">
      <alignment horizontal="left" vertical="center" wrapText="1" indent="1"/>
      <protection hidden="1"/>
    </xf>
    <xf numFmtId="0" fontId="22" fillId="0" borderId="43" xfId="0" applyFont="1" applyBorder="1" applyAlignment="1" applyProtection="1">
      <alignment horizontal="left" vertical="center" wrapText="1" indent="1"/>
      <protection hidden="1"/>
    </xf>
    <xf numFmtId="0" fontId="22" fillId="0" borderId="96" xfId="0" applyFont="1" applyBorder="1" applyAlignment="1" applyProtection="1">
      <alignment horizontal="left" vertical="center" wrapText="1" indent="1"/>
      <protection hidden="1"/>
    </xf>
    <xf numFmtId="0" fontId="40" fillId="0" borderId="107" xfId="0" applyFont="1" applyBorder="1" applyAlignment="1" applyProtection="1">
      <alignment horizontal="center" vertical="center"/>
      <protection hidden="1"/>
    </xf>
    <xf numFmtId="0" fontId="40" fillId="0" borderId="108" xfId="0" applyFont="1" applyBorder="1" applyAlignment="1" applyProtection="1">
      <alignment horizontal="center" vertical="center"/>
      <protection hidden="1"/>
    </xf>
    <xf numFmtId="0" fontId="6" fillId="0" borderId="104" xfId="0" applyFont="1" applyBorder="1" applyAlignment="1" applyProtection="1">
      <alignment horizontal="distributed" vertical="center" wrapText="1"/>
      <protection hidden="1"/>
    </xf>
    <xf numFmtId="0" fontId="6" fillId="0" borderId="49" xfId="0" applyFont="1" applyBorder="1" applyAlignment="1" applyProtection="1">
      <alignment horizontal="distributed" vertical="center" wrapText="1"/>
      <protection hidden="1"/>
    </xf>
    <xf numFmtId="0" fontId="6" fillId="0" borderId="62" xfId="0" applyFont="1" applyBorder="1" applyAlignment="1" applyProtection="1">
      <alignment horizontal="distributed" vertical="center" wrapText="1"/>
      <protection hidden="1"/>
    </xf>
    <xf numFmtId="0" fontId="6" fillId="0" borderId="40" xfId="0" applyFont="1" applyBorder="1" applyAlignment="1" applyProtection="1">
      <alignment horizontal="distributed" vertical="center" wrapText="1"/>
      <protection hidden="1"/>
    </xf>
    <xf numFmtId="0" fontId="6" fillId="0" borderId="0" xfId="0" applyFont="1" applyAlignment="1" applyProtection="1">
      <alignment horizontal="distributed" vertical="center" wrapText="1"/>
      <protection hidden="1"/>
    </xf>
    <xf numFmtId="0" fontId="6" fillId="0" borderId="41" xfId="0" applyFont="1" applyBorder="1" applyAlignment="1" applyProtection="1">
      <alignment horizontal="distributed" vertical="center" wrapText="1"/>
      <protection hidden="1"/>
    </xf>
    <xf numFmtId="0" fontId="6" fillId="0" borderId="95" xfId="0" applyFont="1" applyBorder="1" applyAlignment="1" applyProtection="1">
      <alignment horizontal="distributed" vertical="center" wrapText="1"/>
      <protection hidden="1"/>
    </xf>
    <xf numFmtId="0" fontId="6" fillId="0" borderId="43" xfId="0" applyFont="1" applyBorder="1" applyAlignment="1" applyProtection="1">
      <alignment horizontal="distributed" vertical="center" wrapText="1"/>
      <protection hidden="1"/>
    </xf>
    <xf numFmtId="0" fontId="6" fillId="0" borderId="96" xfId="0" applyFont="1" applyBorder="1" applyAlignment="1" applyProtection="1">
      <alignment horizontal="distributed" vertical="center" wrapText="1"/>
      <protection hidden="1"/>
    </xf>
    <xf numFmtId="0" fontId="6" fillId="0" borderId="40" xfId="0" applyFont="1" applyBorder="1" applyAlignment="1" applyProtection="1">
      <alignment horizontal="center" vertical="distributed" textRotation="255" justifyLastLine="1"/>
      <protection hidden="1"/>
    </xf>
    <xf numFmtId="0" fontId="6" fillId="0" borderId="0" xfId="0" applyFont="1" applyAlignment="1" applyProtection="1">
      <alignment horizontal="center" vertical="distributed" textRotation="255" justifyLastLine="1"/>
      <protection hidden="1"/>
    </xf>
    <xf numFmtId="0" fontId="6" fillId="0" borderId="41" xfId="0" applyFont="1" applyBorder="1" applyAlignment="1" applyProtection="1">
      <alignment horizontal="center" vertical="distributed" textRotation="255" justifyLastLine="1"/>
      <protection hidden="1"/>
    </xf>
    <xf numFmtId="0" fontId="4" fillId="0" borderId="104" xfId="0" applyFont="1" applyBorder="1" applyAlignment="1" applyProtection="1">
      <alignment horizontal="right" vertical="top"/>
      <protection hidden="1"/>
    </xf>
    <xf numFmtId="0" fontId="4" fillId="0" borderId="49" xfId="0" applyFont="1" applyBorder="1" applyAlignment="1" applyProtection="1">
      <alignment horizontal="right" vertical="top"/>
      <protection hidden="1"/>
    </xf>
    <xf numFmtId="0" fontId="4" fillId="0" borderId="62" xfId="0" applyFont="1" applyBorder="1" applyAlignment="1" applyProtection="1">
      <alignment horizontal="right" vertical="top"/>
      <protection hidden="1"/>
    </xf>
    <xf numFmtId="177" fontId="24" fillId="0" borderId="49" xfId="0" applyNumberFormat="1" applyFont="1" applyBorder="1" applyAlignment="1" applyProtection="1">
      <alignment horizontal="right" vertical="center" shrinkToFit="1"/>
      <protection locked="0"/>
    </xf>
    <xf numFmtId="38" fontId="22" fillId="0" borderId="95" xfId="2" applyFont="1" applyBorder="1" applyAlignment="1" applyProtection="1">
      <alignment horizontal="right" vertical="top" indent="1" shrinkToFit="1"/>
      <protection hidden="1"/>
    </xf>
    <xf numFmtId="38" fontId="22" fillId="0" borderId="43" xfId="2" applyFont="1" applyBorder="1" applyAlignment="1" applyProtection="1">
      <alignment horizontal="right" vertical="top" indent="1" shrinkToFit="1"/>
      <protection hidden="1"/>
    </xf>
    <xf numFmtId="38" fontId="22" fillId="0" borderId="96" xfId="2" applyFont="1" applyBorder="1" applyAlignment="1" applyProtection="1">
      <alignment horizontal="right" vertical="top" indent="1" shrinkToFit="1"/>
      <protection hidden="1"/>
    </xf>
    <xf numFmtId="0" fontId="16" fillId="0" borderId="104" xfId="0" applyFont="1" applyBorder="1" applyAlignment="1" applyProtection="1">
      <alignment horizontal="center" vertical="center"/>
      <protection hidden="1"/>
    </xf>
    <xf numFmtId="0" fontId="16" fillId="0" borderId="49" xfId="0" applyFont="1" applyBorder="1" applyAlignment="1" applyProtection="1">
      <alignment horizontal="center" vertical="center"/>
      <protection hidden="1"/>
    </xf>
    <xf numFmtId="0" fontId="16" fillId="0" borderId="62" xfId="0" applyFont="1" applyBorder="1" applyAlignment="1" applyProtection="1">
      <alignment horizontal="center" vertical="center"/>
      <protection hidden="1"/>
    </xf>
    <xf numFmtId="0" fontId="16" fillId="0" borderId="95" xfId="0" applyFont="1" applyBorder="1" applyAlignment="1" applyProtection="1">
      <alignment horizontal="center" vertical="center"/>
      <protection hidden="1"/>
    </xf>
    <xf numFmtId="0" fontId="16" fillId="0" borderId="43" xfId="0" applyFont="1" applyBorder="1" applyAlignment="1" applyProtection="1">
      <alignment horizontal="center" vertical="center"/>
      <protection hidden="1"/>
    </xf>
    <xf numFmtId="0" fontId="16" fillId="0" borderId="96" xfId="0" applyFont="1" applyBorder="1" applyAlignment="1" applyProtection="1">
      <alignment horizontal="center" vertical="center"/>
      <protection hidden="1"/>
    </xf>
    <xf numFmtId="0" fontId="4" fillId="0" borderId="104" xfId="0" applyFont="1" applyBorder="1" applyAlignment="1" applyProtection="1">
      <alignment vertical="top"/>
      <protection hidden="1"/>
    </xf>
    <xf numFmtId="0" fontId="4" fillId="0" borderId="49" xfId="0" applyFont="1" applyBorder="1" applyAlignment="1" applyProtection="1">
      <alignment vertical="top"/>
      <protection hidden="1"/>
    </xf>
    <xf numFmtId="38" fontId="22" fillId="0" borderId="49" xfId="2" applyFont="1" applyFill="1" applyBorder="1" applyAlignment="1" applyProtection="1">
      <alignment horizontal="right" vertical="top"/>
      <protection hidden="1"/>
    </xf>
    <xf numFmtId="0" fontId="7" fillId="0" borderId="242" xfId="0" applyFont="1" applyBorder="1" applyAlignment="1" applyProtection="1">
      <alignment horizontal="center" vertical="center" wrapText="1"/>
      <protection hidden="1"/>
    </xf>
    <xf numFmtId="0" fontId="4" fillId="0" borderId="242" xfId="0" applyFont="1" applyBorder="1" applyAlignment="1" applyProtection="1">
      <alignment horizontal="center" vertical="center" shrinkToFit="1"/>
      <protection hidden="1"/>
    </xf>
    <xf numFmtId="0" fontId="6" fillId="0" borderId="128" xfId="0" applyFont="1" applyBorder="1" applyAlignment="1" applyProtection="1">
      <alignment horizontal="center" vertical="center"/>
      <protection hidden="1"/>
    </xf>
    <xf numFmtId="0" fontId="6" fillId="0" borderId="197" xfId="0" applyFont="1" applyBorder="1" applyAlignment="1" applyProtection="1">
      <alignment horizontal="center" vertical="center" shrinkToFit="1"/>
      <protection hidden="1"/>
    </xf>
    <xf numFmtId="0" fontId="6" fillId="0" borderId="128" xfId="0" applyFont="1" applyBorder="1" applyAlignment="1" applyProtection="1">
      <alignment horizontal="center" vertical="center" shrinkToFit="1"/>
      <protection hidden="1"/>
    </xf>
    <xf numFmtId="0" fontId="6" fillId="0" borderId="186" xfId="0" applyFont="1" applyBorder="1" applyAlignment="1" applyProtection="1">
      <alignment horizontal="center" vertical="center"/>
      <protection hidden="1"/>
    </xf>
    <xf numFmtId="0" fontId="6" fillId="0" borderId="188" xfId="0" applyFont="1" applyBorder="1" applyAlignment="1" applyProtection="1">
      <alignment horizontal="center" vertical="center"/>
      <protection hidden="1"/>
    </xf>
    <xf numFmtId="0" fontId="4" fillId="0" borderId="128" xfId="0" applyFont="1" applyBorder="1" applyAlignment="1" applyProtection="1">
      <alignment horizontal="right" vertical="top"/>
      <protection hidden="1"/>
    </xf>
    <xf numFmtId="0" fontId="4" fillId="0" borderId="128" xfId="0" applyFont="1" applyBorder="1" applyAlignment="1" applyProtection="1">
      <alignment horizontal="distributed" vertical="top"/>
      <protection hidden="1"/>
    </xf>
    <xf numFmtId="0" fontId="4" fillId="0" borderId="222" xfId="0" applyFont="1" applyBorder="1" applyAlignment="1" applyProtection="1">
      <alignment horizontal="right" vertical="top"/>
      <protection hidden="1"/>
    </xf>
    <xf numFmtId="0" fontId="4" fillId="0" borderId="243" xfId="0" applyFont="1" applyBorder="1" applyAlignment="1" applyProtection="1">
      <alignment horizontal="right" vertical="top"/>
      <protection hidden="1"/>
    </xf>
    <xf numFmtId="0" fontId="4" fillId="0" borderId="225" xfId="0" applyFont="1" applyBorder="1" applyAlignment="1" applyProtection="1">
      <alignment horizontal="right" vertical="top"/>
      <protection hidden="1"/>
    </xf>
    <xf numFmtId="0" fontId="4" fillId="0" borderId="197" xfId="0" applyFont="1" applyBorder="1" applyAlignment="1" applyProtection="1">
      <alignment horizontal="left" vertical="top" textRotation="255"/>
      <protection hidden="1"/>
    </xf>
    <xf numFmtId="0" fontId="4" fillId="0" borderId="128" xfId="0" applyFont="1" applyBorder="1" applyAlignment="1" applyProtection="1">
      <alignment horizontal="left" vertical="top" textRotation="255"/>
      <protection hidden="1"/>
    </xf>
    <xf numFmtId="0" fontId="4" fillId="0" borderId="196" xfId="0" applyFont="1" applyBorder="1" applyAlignment="1" applyProtection="1">
      <alignment horizontal="left" vertical="top" textRotation="255"/>
      <protection hidden="1"/>
    </xf>
    <xf numFmtId="0" fontId="4" fillId="0" borderId="197" xfId="0" applyFont="1" applyBorder="1" applyAlignment="1" applyProtection="1">
      <alignment horizontal="right" vertical="top" textRotation="255"/>
      <protection hidden="1"/>
    </xf>
    <xf numFmtId="0" fontId="4" fillId="0" borderId="128" xfId="0" applyFont="1" applyBorder="1" applyAlignment="1" applyProtection="1">
      <alignment horizontal="right" vertical="top" textRotation="255"/>
      <protection hidden="1"/>
    </xf>
    <xf numFmtId="0" fontId="22" fillId="0" borderId="176" xfId="0" applyFont="1" applyBorder="1" applyAlignment="1" applyProtection="1">
      <alignment horizontal="center" vertical="center" shrinkToFit="1"/>
      <protection hidden="1"/>
    </xf>
    <xf numFmtId="38" fontId="22" fillId="0" borderId="242" xfId="2" applyFont="1" applyFill="1" applyBorder="1" applyAlignment="1" applyProtection="1">
      <alignment horizontal="right" vertical="top" indent="1" shrinkToFit="1"/>
      <protection hidden="1"/>
    </xf>
    <xf numFmtId="38" fontId="22" fillId="0" borderId="122" xfId="2" applyFont="1" applyFill="1" applyBorder="1" applyAlignment="1" applyProtection="1">
      <alignment horizontal="right" vertical="top" indent="1" shrinkToFit="1"/>
      <protection hidden="1"/>
    </xf>
    <xf numFmtId="38" fontId="4" fillId="0" borderId="115" xfId="2" applyFont="1" applyBorder="1" applyAlignment="1" applyProtection="1">
      <alignment horizontal="center" vertical="center" wrapText="1" shrinkToFit="1"/>
      <protection hidden="1"/>
    </xf>
    <xf numFmtId="38" fontId="4" fillId="0" borderId="75" xfId="2" applyFont="1" applyBorder="1" applyAlignment="1" applyProtection="1">
      <alignment horizontal="center" vertical="center" wrapText="1" shrinkToFit="1"/>
      <protection hidden="1"/>
    </xf>
    <xf numFmtId="38" fontId="4" fillId="0" borderId="76" xfId="2" applyFont="1" applyBorder="1" applyAlignment="1" applyProtection="1">
      <alignment horizontal="center" vertical="center" wrapText="1" shrinkToFit="1"/>
      <protection hidden="1"/>
    </xf>
    <xf numFmtId="38" fontId="4" fillId="0" borderId="116" xfId="2" applyFont="1" applyBorder="1" applyAlignment="1" applyProtection="1">
      <alignment horizontal="center" vertical="center" wrapText="1" shrinkToFit="1"/>
      <protection hidden="1"/>
    </xf>
    <xf numFmtId="38" fontId="4" fillId="0" borderId="0" xfId="2" applyFont="1" applyBorder="1" applyAlignment="1" applyProtection="1">
      <alignment horizontal="center" vertical="center" wrapText="1" shrinkToFit="1"/>
      <protection hidden="1"/>
    </xf>
    <xf numFmtId="38" fontId="4" fillId="0" borderId="41" xfId="2" applyFont="1" applyBorder="1" applyAlignment="1" applyProtection="1">
      <alignment horizontal="center" vertical="center" wrapText="1" shrinkToFit="1"/>
      <protection hidden="1"/>
    </xf>
    <xf numFmtId="38" fontId="4" fillId="0" borderId="117" xfId="2" applyFont="1" applyBorder="1" applyAlignment="1" applyProtection="1">
      <alignment horizontal="center" vertical="center" wrapText="1" shrinkToFit="1"/>
      <protection hidden="1"/>
    </xf>
    <xf numFmtId="38" fontId="4" fillId="0" borderId="81" xfId="2" applyFont="1" applyBorder="1" applyAlignment="1" applyProtection="1">
      <alignment horizontal="center" vertical="center" wrapText="1" shrinkToFit="1"/>
      <protection hidden="1"/>
    </xf>
    <xf numFmtId="38" fontId="4" fillId="0" borderId="82" xfId="2" applyFont="1" applyBorder="1" applyAlignment="1" applyProtection="1">
      <alignment horizontal="center" vertical="center" wrapText="1" shrinkToFit="1"/>
      <protection hidden="1"/>
    </xf>
    <xf numFmtId="38" fontId="8" fillId="0" borderId="97" xfId="2" applyFont="1" applyBorder="1" applyAlignment="1" applyProtection="1">
      <alignment horizontal="center" vertical="center" wrapText="1" shrinkToFit="1"/>
      <protection hidden="1"/>
    </xf>
    <xf numFmtId="38" fontId="8" fillId="0" borderId="75" xfId="2" applyFont="1" applyBorder="1" applyAlignment="1" applyProtection="1">
      <alignment horizontal="center" vertical="center" wrapText="1" shrinkToFit="1"/>
      <protection hidden="1"/>
    </xf>
    <xf numFmtId="38" fontId="8" fillId="0" borderId="76" xfId="2" applyFont="1" applyBorder="1" applyAlignment="1" applyProtection="1">
      <alignment horizontal="center" vertical="center" wrapText="1" shrinkToFit="1"/>
      <protection hidden="1"/>
    </xf>
    <xf numFmtId="38" fontId="8" fillId="0" borderId="95" xfId="2" applyFont="1" applyBorder="1" applyAlignment="1" applyProtection="1">
      <alignment horizontal="center" vertical="center" wrapText="1" shrinkToFit="1"/>
      <protection hidden="1"/>
    </xf>
    <xf numFmtId="38" fontId="8" fillId="0" borderId="43" xfId="2" applyFont="1" applyBorder="1" applyAlignment="1" applyProtection="1">
      <alignment horizontal="center" vertical="center" wrapText="1" shrinkToFit="1"/>
      <protection hidden="1"/>
    </xf>
    <xf numFmtId="38" fontId="8" fillId="0" borderId="96" xfId="2" applyFont="1" applyBorder="1" applyAlignment="1" applyProtection="1">
      <alignment horizontal="center" vertical="center" wrapText="1" shrinkToFit="1"/>
      <protection hidden="1"/>
    </xf>
    <xf numFmtId="38" fontId="6" fillId="0" borderId="97" xfId="2" applyFont="1" applyFill="1" applyBorder="1" applyAlignment="1" applyProtection="1">
      <alignment horizontal="center" vertical="center" shrinkToFit="1"/>
      <protection hidden="1"/>
    </xf>
    <xf numFmtId="38" fontId="6" fillId="0" borderId="75" xfId="2" applyFont="1" applyFill="1" applyBorder="1" applyAlignment="1" applyProtection="1">
      <alignment horizontal="center" vertical="center" shrinkToFit="1"/>
      <protection hidden="1"/>
    </xf>
    <xf numFmtId="38" fontId="6" fillId="0" borderId="76" xfId="2" applyFont="1" applyFill="1" applyBorder="1" applyAlignment="1" applyProtection="1">
      <alignment horizontal="center" vertical="center" shrinkToFit="1"/>
      <protection hidden="1"/>
    </xf>
    <xf numFmtId="38" fontId="6" fillId="0" borderId="95" xfId="2" applyFont="1" applyFill="1" applyBorder="1" applyAlignment="1" applyProtection="1">
      <alignment horizontal="center" vertical="center" shrinkToFit="1"/>
      <protection hidden="1"/>
    </xf>
    <xf numFmtId="38" fontId="6" fillId="0" borderId="43" xfId="2" applyFont="1" applyFill="1" applyBorder="1" applyAlignment="1" applyProtection="1">
      <alignment horizontal="center" vertical="center" shrinkToFit="1"/>
      <protection hidden="1"/>
    </xf>
    <xf numFmtId="38" fontId="6" fillId="0" borderId="96" xfId="2" applyFont="1" applyFill="1" applyBorder="1" applyAlignment="1" applyProtection="1">
      <alignment horizontal="center" vertical="center" shrinkToFit="1"/>
      <protection hidden="1"/>
    </xf>
    <xf numFmtId="38" fontId="16" fillId="0" borderId="81" xfId="2" applyFont="1" applyBorder="1" applyAlignment="1">
      <alignment vertical="top" shrinkToFit="1"/>
    </xf>
    <xf numFmtId="38" fontId="16" fillId="0" borderId="83" xfId="2" applyFont="1" applyBorder="1" applyAlignment="1">
      <alignment vertical="top" shrinkToFit="1"/>
    </xf>
    <xf numFmtId="38" fontId="4" fillId="0" borderId="97" xfId="2" applyFont="1" applyBorder="1" applyAlignment="1" applyProtection="1">
      <alignment horizontal="center" vertical="center" wrapText="1" shrinkToFit="1"/>
      <protection hidden="1"/>
    </xf>
    <xf numFmtId="38" fontId="4" fillId="0" borderId="80" xfId="2" applyFont="1" applyBorder="1" applyAlignment="1" applyProtection="1">
      <alignment horizontal="center" vertical="center" wrapText="1" shrinkToFit="1"/>
      <protection hidden="1"/>
    </xf>
    <xf numFmtId="0" fontId="4" fillId="0" borderId="75" xfId="0" applyFont="1" applyBorder="1" applyAlignment="1" applyProtection="1">
      <alignment horizontal="right" vertical="top" textRotation="255"/>
      <protection hidden="1"/>
    </xf>
    <xf numFmtId="0" fontId="4" fillId="0" borderId="76" xfId="0" applyFont="1" applyBorder="1" applyAlignment="1" applyProtection="1">
      <alignment horizontal="right" vertical="top" textRotation="255"/>
      <protection hidden="1"/>
    </xf>
    <xf numFmtId="0" fontId="4" fillId="0" borderId="77" xfId="0" applyFont="1" applyBorder="1" applyAlignment="1" applyProtection="1">
      <alignment horizontal="right" vertical="top" textRotation="255"/>
      <protection hidden="1"/>
    </xf>
    <xf numFmtId="38" fontId="16" fillId="0" borderId="81" xfId="2" quotePrefix="1" applyFont="1" applyBorder="1" applyAlignment="1" applyProtection="1">
      <alignment horizontal="right" vertical="top" shrinkToFit="1"/>
      <protection hidden="1"/>
    </xf>
    <xf numFmtId="38" fontId="16" fillId="0" borderId="82" xfId="2" quotePrefix="1" applyFont="1" applyBorder="1" applyAlignment="1" applyProtection="1">
      <alignment horizontal="right" vertical="top" shrinkToFit="1"/>
      <protection hidden="1"/>
    </xf>
    <xf numFmtId="38" fontId="16" fillId="0" borderId="81" xfId="2" applyFont="1" applyFill="1" applyBorder="1" applyAlignment="1" applyProtection="1">
      <alignment horizontal="right" vertical="top" shrinkToFit="1"/>
      <protection hidden="1"/>
    </xf>
    <xf numFmtId="38" fontId="16" fillId="0" borderId="82" xfId="2" applyFont="1" applyFill="1" applyBorder="1" applyAlignment="1" applyProtection="1">
      <alignment horizontal="right" vertical="top" shrinkToFit="1"/>
      <protection hidden="1"/>
    </xf>
    <xf numFmtId="0" fontId="4" fillId="0" borderId="49" xfId="0" applyFont="1" applyBorder="1" applyAlignment="1" applyProtection="1">
      <alignment horizontal="right" vertical="top" textRotation="255"/>
      <protection hidden="1"/>
    </xf>
    <xf numFmtId="0" fontId="4" fillId="0" borderId="62" xfId="0" applyFont="1" applyBorder="1" applyAlignment="1" applyProtection="1">
      <alignment horizontal="right" vertical="top" textRotation="255"/>
      <protection hidden="1"/>
    </xf>
    <xf numFmtId="38" fontId="8" fillId="0" borderId="115" xfId="2" applyFont="1" applyBorder="1" applyAlignment="1" applyProtection="1">
      <alignment horizontal="center" vertical="center" wrapText="1" shrinkToFit="1"/>
      <protection hidden="1"/>
    </xf>
    <xf numFmtId="38" fontId="8" fillId="0" borderId="117" xfId="2" applyFont="1" applyBorder="1" applyAlignment="1" applyProtection="1">
      <alignment horizontal="center" vertical="center" wrapText="1" shrinkToFit="1"/>
      <protection hidden="1"/>
    </xf>
    <xf numFmtId="38" fontId="8" fillId="0" borderId="81" xfId="2" applyFont="1" applyBorder="1" applyAlignment="1" applyProtection="1">
      <alignment horizontal="center" vertical="center" wrapText="1" shrinkToFit="1"/>
      <protection hidden="1"/>
    </xf>
    <xf numFmtId="38" fontId="8" fillId="0" borderId="82" xfId="2" applyFont="1" applyBorder="1" applyAlignment="1" applyProtection="1">
      <alignment horizontal="center" vertical="center" wrapText="1" shrinkToFit="1"/>
      <protection hidden="1"/>
    </xf>
    <xf numFmtId="38" fontId="16" fillId="0" borderId="81" xfId="2" applyFont="1" applyBorder="1" applyAlignment="1" applyProtection="1">
      <alignment horizontal="right" vertical="top" shrinkToFit="1"/>
      <protection hidden="1"/>
    </xf>
    <xf numFmtId="38" fontId="16" fillId="0" borderId="83" xfId="2" applyFont="1" applyBorder="1" applyAlignment="1" applyProtection="1">
      <alignment horizontal="right" vertical="top" shrinkToFit="1"/>
      <protection hidden="1"/>
    </xf>
    <xf numFmtId="38" fontId="8" fillId="0" borderId="104" xfId="2" applyFont="1" applyBorder="1" applyAlignment="1" applyProtection="1">
      <alignment horizontal="center" vertical="center" wrapText="1" shrinkToFit="1"/>
      <protection hidden="1"/>
    </xf>
    <xf numFmtId="38" fontId="8" fillId="0" borderId="49" xfId="2" applyFont="1" applyBorder="1" applyAlignment="1" applyProtection="1">
      <alignment horizontal="center" vertical="center" wrapText="1" shrinkToFit="1"/>
      <protection hidden="1"/>
    </xf>
    <xf numFmtId="38" fontId="8" fillId="0" borderId="62" xfId="2" applyFont="1" applyBorder="1" applyAlignment="1" applyProtection="1">
      <alignment horizontal="center" vertical="center" wrapText="1" shrinkToFit="1"/>
      <protection hidden="1"/>
    </xf>
    <xf numFmtId="38" fontId="8" fillId="0" borderId="80" xfId="2" applyFont="1" applyBorder="1" applyAlignment="1" applyProtection="1">
      <alignment horizontal="center" vertical="center" wrapText="1" shrinkToFit="1"/>
      <protection hidden="1"/>
    </xf>
    <xf numFmtId="38" fontId="4" fillId="0" borderId="95" xfId="2" applyFont="1" applyBorder="1" applyAlignment="1" applyProtection="1">
      <alignment horizontal="center" vertical="center" wrapText="1" shrinkToFit="1"/>
      <protection hidden="1"/>
    </xf>
    <xf numFmtId="38" fontId="4" fillId="0" borderId="43" xfId="2" applyFont="1" applyBorder="1" applyAlignment="1" applyProtection="1">
      <alignment horizontal="center" vertical="center" wrapText="1" shrinkToFit="1"/>
      <protection hidden="1"/>
    </xf>
    <xf numFmtId="38" fontId="4" fillId="0" borderId="96" xfId="2" applyFont="1" applyBorder="1" applyAlignment="1" applyProtection="1">
      <alignment horizontal="center" vertical="center" wrapText="1" shrinkToFit="1"/>
      <protection hidden="1"/>
    </xf>
    <xf numFmtId="187" fontId="6" fillId="0" borderId="95" xfId="0" applyNumberFormat="1" applyFont="1" applyBorder="1" applyAlignment="1" applyProtection="1">
      <alignment vertical="top" shrinkToFit="1"/>
      <protection hidden="1"/>
    </xf>
    <xf numFmtId="187" fontId="6" fillId="0" borderId="43" xfId="0" applyNumberFormat="1" applyFont="1" applyBorder="1" applyAlignment="1" applyProtection="1">
      <alignment vertical="top" shrinkToFit="1"/>
      <protection hidden="1"/>
    </xf>
    <xf numFmtId="186" fontId="6" fillId="0" borderId="43" xfId="0" applyNumberFormat="1" applyFont="1" applyBorder="1" applyAlignment="1" applyProtection="1">
      <alignment horizontal="center" vertical="top" shrinkToFit="1"/>
      <protection hidden="1"/>
    </xf>
    <xf numFmtId="185" fontId="6" fillId="0" borderId="43" xfId="0" applyNumberFormat="1" applyFont="1" applyBorder="1" applyAlignment="1" applyProtection="1">
      <alignment horizontal="center" vertical="top" shrinkToFit="1"/>
      <protection hidden="1"/>
    </xf>
    <xf numFmtId="38" fontId="16" fillId="0" borderId="43" xfId="2" applyFont="1" applyBorder="1" applyAlignment="1">
      <alignment vertical="top" shrinkToFit="1"/>
    </xf>
    <xf numFmtId="38" fontId="16" fillId="0" borderId="114" xfId="2" applyFont="1" applyBorder="1" applyAlignment="1">
      <alignment vertical="top" shrinkToFit="1"/>
    </xf>
    <xf numFmtId="0" fontId="4" fillId="0" borderId="85" xfId="0" applyFont="1" applyBorder="1" applyAlignment="1" applyProtection="1">
      <alignment horizontal="right" vertical="top" textRotation="255"/>
      <protection hidden="1"/>
    </xf>
    <xf numFmtId="38" fontId="6" fillId="0" borderId="97" xfId="2" applyFont="1" applyBorder="1" applyAlignment="1" applyProtection="1">
      <alignment horizontal="center" vertical="center" wrapText="1" shrinkToFit="1"/>
      <protection hidden="1"/>
    </xf>
    <xf numFmtId="38" fontId="6" fillId="0" borderId="75" xfId="2" applyFont="1" applyBorder="1" applyAlignment="1" applyProtection="1">
      <alignment horizontal="center" vertical="center" wrapText="1" shrinkToFit="1"/>
      <protection hidden="1"/>
    </xf>
    <xf numFmtId="38" fontId="6" fillId="0" borderId="76" xfId="2" applyFont="1" applyBorder="1" applyAlignment="1" applyProtection="1">
      <alignment horizontal="center" vertical="center" wrapText="1" shrinkToFit="1"/>
      <protection hidden="1"/>
    </xf>
    <xf numFmtId="38" fontId="6" fillId="0" borderId="95" xfId="2" applyFont="1" applyBorder="1" applyAlignment="1" applyProtection="1">
      <alignment horizontal="center" vertical="center" wrapText="1" shrinkToFit="1"/>
      <protection hidden="1"/>
    </xf>
    <xf numFmtId="38" fontId="6" fillId="0" borderId="43" xfId="2" applyFont="1" applyBorder="1" applyAlignment="1" applyProtection="1">
      <alignment horizontal="center" vertical="center" wrapText="1" shrinkToFit="1"/>
      <protection hidden="1"/>
    </xf>
    <xf numFmtId="38" fontId="6" fillId="0" borderId="96" xfId="2" applyFont="1" applyBorder="1" applyAlignment="1" applyProtection="1">
      <alignment horizontal="center" vertical="center" wrapText="1" shrinkToFit="1"/>
      <protection hidden="1"/>
    </xf>
    <xf numFmtId="38" fontId="16" fillId="0" borderId="95" xfId="2" applyFont="1" applyBorder="1" applyAlignment="1" applyProtection="1">
      <alignment horizontal="right" vertical="center" shrinkToFit="1"/>
      <protection hidden="1"/>
    </xf>
    <xf numFmtId="38" fontId="16" fillId="0" borderId="43" xfId="2" applyFont="1" applyBorder="1" applyAlignment="1" applyProtection="1">
      <alignment horizontal="right" vertical="center" shrinkToFit="1"/>
      <protection hidden="1"/>
    </xf>
    <xf numFmtId="38" fontId="16" fillId="0" borderId="96" xfId="2" applyFont="1" applyBorder="1" applyAlignment="1" applyProtection="1">
      <alignment horizontal="right" vertical="center" shrinkToFit="1"/>
      <protection hidden="1"/>
    </xf>
    <xf numFmtId="38" fontId="4" fillId="0" borderId="104" xfId="2" applyFont="1" applyBorder="1" applyAlignment="1" applyProtection="1">
      <alignment horizontal="center" vertical="center" wrapText="1" shrinkToFit="1"/>
      <protection hidden="1"/>
    </xf>
    <xf numFmtId="38" fontId="4" fillId="0" borderId="49" xfId="2" applyFont="1" applyBorder="1" applyAlignment="1" applyProtection="1">
      <alignment horizontal="center" vertical="center" wrapText="1" shrinkToFit="1"/>
      <protection hidden="1"/>
    </xf>
    <xf numFmtId="38" fontId="4" fillId="0" borderId="62" xfId="2" applyFont="1" applyBorder="1" applyAlignment="1" applyProtection="1">
      <alignment horizontal="center" vertical="center" wrapText="1" shrinkToFit="1"/>
      <protection hidden="1"/>
    </xf>
    <xf numFmtId="0" fontId="4" fillId="0" borderId="113" xfId="0" applyFont="1" applyBorder="1" applyAlignment="1" applyProtection="1">
      <alignment horizontal="right" vertical="top" textRotation="255"/>
      <protection hidden="1"/>
    </xf>
    <xf numFmtId="38" fontId="16" fillId="0" borderId="80" xfId="2" quotePrefix="1" applyFont="1" applyBorder="1" applyAlignment="1" applyProtection="1">
      <alignment horizontal="right" vertical="top" shrinkToFit="1"/>
      <protection hidden="1"/>
    </xf>
    <xf numFmtId="187" fontId="6" fillId="0" borderId="80" xfId="0" applyNumberFormat="1" applyFont="1" applyBorder="1" applyAlignment="1" applyProtection="1">
      <alignment vertical="top" shrinkToFit="1"/>
      <protection hidden="1"/>
    </xf>
    <xf numFmtId="187" fontId="6" fillId="0" borderId="81" xfId="0" applyNumberFormat="1" applyFont="1" applyBorder="1" applyAlignment="1" applyProtection="1">
      <alignment vertical="top" shrinkToFit="1"/>
      <protection hidden="1"/>
    </xf>
    <xf numFmtId="186" fontId="6" fillId="0" borderId="81" xfId="0" applyNumberFormat="1" applyFont="1" applyBorder="1" applyAlignment="1" applyProtection="1">
      <alignment horizontal="center" vertical="top" shrinkToFit="1"/>
      <protection hidden="1"/>
    </xf>
    <xf numFmtId="0" fontId="4" fillId="0" borderId="105" xfId="0" applyFont="1" applyBorder="1" applyAlignment="1" applyProtection="1">
      <alignment horizontal="right" vertical="top" textRotation="255"/>
      <protection hidden="1"/>
    </xf>
    <xf numFmtId="38" fontId="6" fillId="0" borderId="104" xfId="2" applyFont="1" applyBorder="1" applyAlignment="1" applyProtection="1">
      <alignment horizontal="center" vertical="center" wrapText="1" shrinkToFit="1"/>
      <protection hidden="1"/>
    </xf>
    <xf numFmtId="38" fontId="6" fillId="0" borderId="49" xfId="2" applyFont="1" applyBorder="1" applyAlignment="1" applyProtection="1">
      <alignment horizontal="center" vertical="center" wrapText="1" shrinkToFit="1"/>
      <protection hidden="1"/>
    </xf>
    <xf numFmtId="38" fontId="6" fillId="0" borderId="62" xfId="2" applyFont="1" applyBorder="1" applyAlignment="1" applyProtection="1">
      <alignment horizontal="center" vertical="center" wrapText="1" shrinkToFit="1"/>
      <protection hidden="1"/>
    </xf>
    <xf numFmtId="38" fontId="6" fillId="0" borderId="80" xfId="2" applyFont="1" applyBorder="1" applyAlignment="1" applyProtection="1">
      <alignment horizontal="center" vertical="center" wrapText="1" shrinkToFit="1"/>
      <protection hidden="1"/>
    </xf>
    <xf numFmtId="38" fontId="6" fillId="0" borderId="81" xfId="2" applyFont="1" applyBorder="1" applyAlignment="1" applyProtection="1">
      <alignment horizontal="center" vertical="center" wrapText="1" shrinkToFit="1"/>
      <protection hidden="1"/>
    </xf>
    <xf numFmtId="38" fontId="6" fillId="0" borderId="82" xfId="2" applyFont="1" applyBorder="1" applyAlignment="1" applyProtection="1">
      <alignment horizontal="center" vertical="center" wrapText="1" shrinkToFit="1"/>
      <protection hidden="1"/>
    </xf>
    <xf numFmtId="185" fontId="6" fillId="0" borderId="81" xfId="0" applyNumberFormat="1" applyFont="1" applyBorder="1" applyAlignment="1" applyProtection="1">
      <alignment horizontal="center" vertical="top" shrinkToFit="1"/>
      <protection hidden="1"/>
    </xf>
    <xf numFmtId="38" fontId="4" fillId="0" borderId="40" xfId="2" applyFont="1" applyBorder="1" applyAlignment="1" applyProtection="1">
      <alignment horizontal="center" vertical="center" wrapText="1" shrinkToFit="1"/>
      <protection hidden="1"/>
    </xf>
    <xf numFmtId="38" fontId="4" fillId="0" borderId="103" xfId="2" applyFont="1" applyBorder="1" applyAlignment="1" applyProtection="1">
      <alignment horizontal="center" vertical="center" wrapText="1" shrinkToFit="1"/>
      <protection hidden="1"/>
    </xf>
    <xf numFmtId="38" fontId="16" fillId="0" borderId="40" xfId="2" quotePrefix="1" applyFont="1" applyBorder="1" applyAlignment="1" applyProtection="1">
      <alignment horizontal="right" vertical="center" shrinkToFit="1"/>
      <protection hidden="1"/>
    </xf>
    <xf numFmtId="38" fontId="16" fillId="0" borderId="0" xfId="2" quotePrefix="1" applyFont="1" applyBorder="1" applyAlignment="1" applyProtection="1">
      <alignment horizontal="right" vertical="center" shrinkToFit="1"/>
      <protection hidden="1"/>
    </xf>
    <xf numFmtId="38" fontId="16" fillId="0" borderId="41" xfId="2" quotePrefix="1" applyFont="1" applyBorder="1" applyAlignment="1" applyProtection="1">
      <alignment horizontal="right" vertical="center" shrinkToFit="1"/>
      <protection hidden="1"/>
    </xf>
    <xf numFmtId="38" fontId="16" fillId="0" borderId="103" xfId="2" quotePrefix="1" applyFont="1" applyBorder="1" applyAlignment="1" applyProtection="1">
      <alignment horizontal="right" vertical="center" shrinkToFit="1"/>
      <protection hidden="1"/>
    </xf>
    <xf numFmtId="38" fontId="16" fillId="0" borderId="43" xfId="2" quotePrefix="1" applyFont="1" applyBorder="1" applyAlignment="1" applyProtection="1">
      <alignment horizontal="right" vertical="center" shrinkToFit="1"/>
      <protection hidden="1"/>
    </xf>
    <xf numFmtId="38" fontId="16" fillId="0" borderId="96" xfId="2" quotePrefix="1" applyFont="1" applyBorder="1" applyAlignment="1" applyProtection="1">
      <alignment horizontal="right" vertical="center" shrinkToFit="1"/>
      <protection hidden="1"/>
    </xf>
    <xf numFmtId="38" fontId="16" fillId="0" borderId="40" xfId="2" applyFont="1" applyBorder="1" applyAlignment="1" applyProtection="1">
      <alignment horizontal="right" vertical="center" shrinkToFit="1"/>
      <protection hidden="1"/>
    </xf>
    <xf numFmtId="38" fontId="16" fillId="0" borderId="0" xfId="2" applyFont="1" applyBorder="1" applyAlignment="1" applyProtection="1">
      <alignment horizontal="right" vertical="center" shrinkToFit="1"/>
      <protection hidden="1"/>
    </xf>
    <xf numFmtId="38" fontId="16" fillId="0" borderId="41" xfId="2" applyFont="1" applyBorder="1" applyAlignment="1" applyProtection="1">
      <alignment horizontal="right" vertical="center" shrinkToFit="1"/>
      <protection hidden="1"/>
    </xf>
    <xf numFmtId="38" fontId="16" fillId="0" borderId="103" xfId="2" applyFont="1" applyBorder="1" applyAlignment="1" applyProtection="1">
      <alignment horizontal="right" vertical="center" shrinkToFit="1"/>
      <protection hidden="1"/>
    </xf>
    <xf numFmtId="38" fontId="7" fillId="0" borderId="97" xfId="2" applyFont="1" applyBorder="1" applyAlignment="1" applyProtection="1">
      <alignment horizontal="center" vertical="center" wrapText="1" shrinkToFit="1"/>
      <protection hidden="1"/>
    </xf>
    <xf numFmtId="38" fontId="7" fillId="0" borderId="75" xfId="2" applyFont="1" applyBorder="1" applyAlignment="1" applyProtection="1">
      <alignment horizontal="center" vertical="center" wrapText="1" shrinkToFit="1"/>
      <protection hidden="1"/>
    </xf>
    <xf numFmtId="38" fontId="7" fillId="0" borderId="76" xfId="2" applyFont="1" applyBorder="1" applyAlignment="1" applyProtection="1">
      <alignment horizontal="center" vertical="center" wrapText="1" shrinkToFit="1"/>
      <protection hidden="1"/>
    </xf>
    <xf numFmtId="38" fontId="7" fillId="0" borderId="40" xfId="2" applyFont="1" applyBorder="1" applyAlignment="1" applyProtection="1">
      <alignment horizontal="center" vertical="center" wrapText="1" shrinkToFit="1"/>
      <protection hidden="1"/>
    </xf>
    <xf numFmtId="38" fontId="7" fillId="0" borderId="0" xfId="2" applyFont="1" applyBorder="1" applyAlignment="1" applyProtection="1">
      <alignment horizontal="center" vertical="center" wrapText="1" shrinkToFit="1"/>
      <protection hidden="1"/>
    </xf>
    <xf numFmtId="38" fontId="7" fillId="0" borderId="41" xfId="2" applyFont="1" applyBorder="1" applyAlignment="1" applyProtection="1">
      <alignment horizontal="center" vertical="center" wrapText="1" shrinkToFit="1"/>
      <protection hidden="1"/>
    </xf>
    <xf numFmtId="38" fontId="7" fillId="0" borderId="95" xfId="2" applyFont="1" applyBorder="1" applyAlignment="1" applyProtection="1">
      <alignment horizontal="center" vertical="center" wrapText="1" shrinkToFit="1"/>
      <protection hidden="1"/>
    </xf>
    <xf numFmtId="38" fontId="7" fillId="0" borderId="43" xfId="2" applyFont="1" applyBorder="1" applyAlignment="1" applyProtection="1">
      <alignment horizontal="center" vertical="center" wrapText="1" shrinkToFit="1"/>
      <protection hidden="1"/>
    </xf>
    <xf numFmtId="38" fontId="7" fillId="0" borderId="96" xfId="2" applyFont="1" applyBorder="1" applyAlignment="1" applyProtection="1">
      <alignment horizontal="center" vertical="center" wrapText="1" shrinkToFit="1"/>
      <protection hidden="1"/>
    </xf>
    <xf numFmtId="0" fontId="4" fillId="0" borderId="30" xfId="0" applyFont="1" applyBorder="1" applyAlignment="1" applyProtection="1">
      <alignment horizontal="center" vertical="center" shrinkToFit="1"/>
      <protection hidden="1"/>
    </xf>
    <xf numFmtId="0" fontId="4" fillId="0" borderId="24" xfId="0" applyFont="1" applyBorder="1" applyAlignment="1" applyProtection="1">
      <alignment horizontal="center" vertical="center" shrinkToFit="1"/>
      <protection hidden="1"/>
    </xf>
    <xf numFmtId="0" fontId="4" fillId="0" borderId="25" xfId="0" applyFont="1" applyBorder="1" applyAlignment="1" applyProtection="1">
      <alignment horizontal="center" vertical="center" shrinkToFit="1"/>
      <protection hidden="1"/>
    </xf>
    <xf numFmtId="38" fontId="16" fillId="0" borderId="95" xfId="2" quotePrefix="1" applyFont="1" applyBorder="1" applyAlignment="1" applyProtection="1">
      <alignment horizontal="right" vertical="center" shrinkToFit="1"/>
      <protection hidden="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50" xfId="0" applyFont="1" applyBorder="1" applyAlignment="1">
      <alignment vertical="center" wrapText="1"/>
    </xf>
    <xf numFmtId="0" fontId="4" fillId="0" borderId="35" xfId="0" applyFont="1" applyBorder="1" applyAlignment="1">
      <alignment vertical="center" wrapText="1"/>
    </xf>
    <xf numFmtId="0" fontId="4" fillId="0" borderId="118"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23" fillId="0" borderId="104" xfId="0" applyFont="1" applyBorder="1" applyAlignment="1" applyProtection="1">
      <alignment horizontal="center" vertical="center" textRotation="255" wrapText="1" shrinkToFit="1"/>
      <protection hidden="1"/>
    </xf>
    <xf numFmtId="0" fontId="23" fillId="0" borderId="49" xfId="0" applyFont="1" applyBorder="1" applyAlignment="1" applyProtection="1">
      <alignment horizontal="center" vertical="center" textRotation="255" wrapText="1" shrinkToFit="1"/>
      <protection hidden="1"/>
    </xf>
    <xf numFmtId="0" fontId="23" fillId="0" borderId="62" xfId="0" applyFont="1" applyBorder="1" applyAlignment="1" applyProtection="1">
      <alignment horizontal="center" vertical="center" textRotation="255" wrapText="1" shrinkToFit="1"/>
      <protection hidden="1"/>
    </xf>
    <xf numFmtId="0" fontId="23" fillId="0" borderId="40" xfId="0" applyFont="1" applyBorder="1" applyAlignment="1" applyProtection="1">
      <alignment horizontal="center" vertical="center" textRotation="255" wrapText="1" shrinkToFit="1"/>
      <protection hidden="1"/>
    </xf>
    <xf numFmtId="0" fontId="23" fillId="0" borderId="0" xfId="0" applyFont="1" applyAlignment="1" applyProtection="1">
      <alignment horizontal="center" vertical="center" textRotation="255" wrapText="1" shrinkToFit="1"/>
      <protection hidden="1"/>
    </xf>
    <xf numFmtId="0" fontId="23" fillId="0" borderId="41" xfId="0" applyFont="1" applyBorder="1" applyAlignment="1" applyProtection="1">
      <alignment horizontal="center" vertical="center" textRotation="255" wrapText="1" shrinkToFit="1"/>
      <protection hidden="1"/>
    </xf>
    <xf numFmtId="0" fontId="23" fillId="0" borderId="95" xfId="0" applyFont="1" applyBorder="1" applyAlignment="1" applyProtection="1">
      <alignment horizontal="center" vertical="center" textRotation="255" wrapText="1" shrinkToFit="1"/>
      <protection hidden="1"/>
    </xf>
    <xf numFmtId="0" fontId="23" fillId="0" borderId="43" xfId="0" applyFont="1" applyBorder="1" applyAlignment="1" applyProtection="1">
      <alignment horizontal="center" vertical="center" textRotation="255" wrapText="1" shrinkToFit="1"/>
      <protection hidden="1"/>
    </xf>
    <xf numFmtId="0" fontId="23" fillId="0" borderId="96" xfId="0" applyFont="1" applyBorder="1" applyAlignment="1" applyProtection="1">
      <alignment horizontal="center" vertical="center" textRotation="255" wrapText="1" shrinkToFit="1"/>
      <protection hidden="1"/>
    </xf>
    <xf numFmtId="0" fontId="4" fillId="0" borderId="109" xfId="0" applyFont="1" applyBorder="1" applyAlignment="1" applyProtection="1">
      <alignment horizontal="center" vertical="center" wrapText="1" shrinkToFit="1"/>
      <protection hidden="1"/>
    </xf>
    <xf numFmtId="0" fontId="4" fillId="0" borderId="46" xfId="0" applyFont="1" applyBorder="1" applyAlignment="1" applyProtection="1">
      <alignment horizontal="center" vertical="center" wrapText="1" shrinkToFit="1"/>
      <protection hidden="1"/>
    </xf>
    <xf numFmtId="0" fontId="4" fillId="0" borderId="98" xfId="0" applyFont="1" applyBorder="1" applyAlignment="1" applyProtection="1">
      <alignment horizontal="center" vertical="center" wrapText="1" shrinkToFit="1"/>
      <protection hidden="1"/>
    </xf>
    <xf numFmtId="0" fontId="4" fillId="0" borderId="97" xfId="0" applyFont="1" applyBorder="1" applyAlignment="1" applyProtection="1">
      <alignment horizontal="center" vertical="center" wrapText="1" shrinkToFit="1"/>
      <protection hidden="1"/>
    </xf>
    <xf numFmtId="0" fontId="4" fillId="0" borderId="75" xfId="0" applyFont="1" applyBorder="1" applyAlignment="1" applyProtection="1">
      <alignment horizontal="center" vertical="center" wrapText="1" shrinkToFit="1"/>
      <protection hidden="1"/>
    </xf>
    <xf numFmtId="0" fontId="4" fillId="0" borderId="76" xfId="0" applyFont="1" applyBorder="1" applyAlignment="1" applyProtection="1">
      <alignment horizontal="center" vertical="center" wrapText="1" shrinkToFit="1"/>
      <protection hidden="1"/>
    </xf>
    <xf numFmtId="0" fontId="4" fillId="0" borderId="41" xfId="0" applyFont="1" applyBorder="1" applyAlignment="1" applyProtection="1">
      <alignment horizontal="center" vertical="center" wrapText="1" shrinkToFit="1"/>
      <protection hidden="1"/>
    </xf>
    <xf numFmtId="0" fontId="4" fillId="0" borderId="95" xfId="0" applyFont="1" applyBorder="1" applyAlignment="1" applyProtection="1">
      <alignment horizontal="center" vertical="center" wrapText="1" shrinkToFit="1"/>
      <protection hidden="1"/>
    </xf>
    <xf numFmtId="0" fontId="4" fillId="0" borderId="43" xfId="0" applyFont="1" applyBorder="1" applyAlignment="1" applyProtection="1">
      <alignment horizontal="center" vertical="center" wrapText="1" shrinkToFit="1"/>
      <protection hidden="1"/>
    </xf>
    <xf numFmtId="0" fontId="4" fillId="0" borderId="96" xfId="0" applyFont="1" applyBorder="1" applyAlignment="1" applyProtection="1">
      <alignment horizontal="center" vertical="center" wrapText="1" shrinkToFit="1"/>
      <protection hidden="1"/>
    </xf>
    <xf numFmtId="0" fontId="4" fillId="0" borderId="101" xfId="0" applyFont="1" applyBorder="1" applyAlignment="1" applyProtection="1">
      <alignment horizontal="center" vertical="center" wrapText="1" shrinkToFit="1"/>
      <protection hidden="1"/>
    </xf>
    <xf numFmtId="0" fontId="4" fillId="0" borderId="111" xfId="0" applyFont="1" applyBorder="1" applyAlignment="1" applyProtection="1">
      <alignment horizontal="center" vertical="center" shrinkToFit="1"/>
      <protection hidden="1"/>
    </xf>
    <xf numFmtId="0" fontId="4" fillId="0" borderId="110" xfId="0" applyFont="1" applyBorder="1" applyAlignment="1" applyProtection="1">
      <alignment horizontal="center" vertical="center" shrinkToFit="1"/>
      <protection hidden="1"/>
    </xf>
    <xf numFmtId="0" fontId="4" fillId="0" borderId="112" xfId="0" applyFont="1" applyBorder="1" applyAlignment="1" applyProtection="1">
      <alignment horizontal="center" vertical="center" shrinkToFit="1"/>
      <protection hidden="1"/>
    </xf>
    <xf numFmtId="0" fontId="6" fillId="0" borderId="110" xfId="0" applyFont="1" applyBorder="1" applyAlignment="1" applyProtection="1">
      <alignment horizontal="distributed" vertical="center" shrinkToFit="1"/>
      <protection hidden="1"/>
    </xf>
    <xf numFmtId="191" fontId="24" fillId="0" borderId="104" xfId="0" applyNumberFormat="1" applyFont="1" applyBorder="1" applyAlignment="1" applyProtection="1">
      <alignment horizontal="center" vertical="center"/>
      <protection hidden="1"/>
    </xf>
    <xf numFmtId="191" fontId="24" fillId="0" borderId="49" xfId="0" applyNumberFormat="1" applyFont="1" applyBorder="1" applyAlignment="1" applyProtection="1">
      <alignment horizontal="center" vertical="center"/>
      <protection hidden="1"/>
    </xf>
    <xf numFmtId="191" fontId="24" fillId="0" borderId="62" xfId="0" applyNumberFormat="1" applyFont="1" applyBorder="1" applyAlignment="1" applyProtection="1">
      <alignment horizontal="center" vertical="center"/>
      <protection hidden="1"/>
    </xf>
    <xf numFmtId="191" fontId="24" fillId="0" borderId="95" xfId="0" applyNumberFormat="1" applyFont="1" applyBorder="1" applyAlignment="1" applyProtection="1">
      <alignment horizontal="center" vertical="center"/>
      <protection hidden="1"/>
    </xf>
    <xf numFmtId="191" fontId="24" fillId="0" borderId="43" xfId="0" applyNumberFormat="1" applyFont="1" applyBorder="1" applyAlignment="1" applyProtection="1">
      <alignment horizontal="center" vertical="center"/>
      <protection hidden="1"/>
    </xf>
    <xf numFmtId="191" fontId="24" fillId="0" borderId="96" xfId="0" applyNumberFormat="1" applyFont="1" applyBorder="1" applyAlignment="1" applyProtection="1">
      <alignment horizontal="center" vertical="center"/>
      <protection hidden="1"/>
    </xf>
    <xf numFmtId="0" fontId="4" fillId="0" borderId="94" xfId="0" applyFont="1" applyBorder="1" applyAlignment="1" applyProtection="1">
      <alignment horizontal="center" vertical="center" shrinkToFit="1"/>
      <protection hidden="1"/>
    </xf>
    <xf numFmtId="0" fontId="4" fillId="0" borderId="28" xfId="0" applyFont="1" applyBorder="1" applyAlignment="1" applyProtection="1">
      <alignment horizontal="center" vertical="center" shrinkToFit="1"/>
      <protection hidden="1"/>
    </xf>
    <xf numFmtId="0" fontId="4" fillId="0" borderId="29" xfId="0" applyFont="1" applyBorder="1" applyAlignment="1" applyProtection="1">
      <alignment horizontal="center" vertical="center" shrinkToFit="1"/>
      <protection hidden="1"/>
    </xf>
    <xf numFmtId="0" fontId="4" fillId="0" borderId="28" xfId="0" applyFont="1" applyBorder="1" applyAlignment="1" applyProtection="1">
      <alignment horizontal="distributed" vertical="center" shrinkToFit="1"/>
      <protection hidden="1"/>
    </xf>
    <xf numFmtId="0" fontId="23" fillId="0" borderId="104" xfId="0" applyFont="1" applyBorder="1" applyAlignment="1" applyProtection="1">
      <alignment horizontal="center" vertical="center" wrapText="1" shrinkToFit="1"/>
      <protection hidden="1"/>
    </xf>
    <xf numFmtId="0" fontId="23" fillId="0" borderId="62" xfId="0" applyFont="1" applyBorder="1" applyAlignment="1" applyProtection="1">
      <alignment horizontal="center" vertical="center" wrapText="1" shrinkToFit="1"/>
      <protection hidden="1"/>
    </xf>
    <xf numFmtId="0" fontId="23" fillId="0" borderId="95" xfId="0" applyFont="1" applyBorder="1" applyAlignment="1" applyProtection="1">
      <alignment horizontal="center" vertical="center" wrapText="1" shrinkToFit="1"/>
      <protection hidden="1"/>
    </xf>
    <xf numFmtId="0" fontId="23" fillId="0" borderId="96" xfId="0" applyFont="1" applyBorder="1" applyAlignment="1" applyProtection="1">
      <alignment horizontal="center" vertical="center" wrapText="1" shrinkToFit="1"/>
      <protection hidden="1"/>
    </xf>
    <xf numFmtId="0" fontId="23" fillId="0" borderId="2" xfId="0" applyFont="1" applyBorder="1" applyAlignment="1" applyProtection="1">
      <alignment horizontal="distributed" vertical="center"/>
      <protection hidden="1"/>
    </xf>
    <xf numFmtId="0" fontId="23" fillId="0" borderId="119" xfId="0" applyFont="1" applyBorder="1" applyAlignment="1" applyProtection="1">
      <alignment horizontal="distributed" vertical="center"/>
      <protection hidden="1"/>
    </xf>
    <xf numFmtId="0" fontId="23" fillId="0" borderId="4" xfId="0" applyFont="1" applyBorder="1" applyAlignment="1" applyProtection="1">
      <alignment horizontal="distributed" vertical="center"/>
      <protection hidden="1"/>
    </xf>
    <xf numFmtId="0" fontId="22" fillId="0" borderId="2" xfId="0" applyFont="1" applyBorder="1" applyAlignment="1" applyProtection="1">
      <alignment horizontal="left" vertical="center" indent="1"/>
      <protection hidden="1"/>
    </xf>
    <xf numFmtId="0" fontId="22" fillId="0" borderId="119" xfId="0" applyFont="1" applyBorder="1" applyAlignment="1" applyProtection="1">
      <alignment horizontal="left" vertical="center" indent="1"/>
      <protection hidden="1"/>
    </xf>
    <xf numFmtId="0" fontId="6" fillId="0" borderId="45" xfId="0" applyFont="1" applyBorder="1" applyAlignment="1" applyProtection="1">
      <alignment horizontal="center" vertical="distributed" textRotation="255" justifyLastLine="1"/>
      <protection hidden="1"/>
    </xf>
    <xf numFmtId="0" fontId="6" fillId="0" borderId="47" xfId="0" applyFont="1" applyBorder="1" applyAlignment="1" applyProtection="1">
      <alignment horizontal="center" vertical="distributed" textRotation="255" justifyLastLine="1"/>
      <protection hidden="1"/>
    </xf>
    <xf numFmtId="0" fontId="6" fillId="0" borderId="48" xfId="0" applyFont="1" applyBorder="1" applyAlignment="1" applyProtection="1">
      <alignment horizontal="center" vertical="distributed" textRotation="255" justifyLastLine="1"/>
      <protection hidden="1"/>
    </xf>
    <xf numFmtId="0" fontId="23" fillId="0" borderId="30" xfId="0" applyFont="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3" fillId="0" borderId="25" xfId="0" applyFont="1" applyBorder="1" applyAlignment="1" applyProtection="1">
      <alignment horizontal="center" vertical="center" wrapText="1"/>
      <protection hidden="1"/>
    </xf>
    <xf numFmtId="0" fontId="23" fillId="0" borderId="2" xfId="0" applyFont="1" applyBorder="1" applyAlignment="1" applyProtection="1">
      <alignment horizontal="distributed" vertical="center" wrapText="1"/>
      <protection hidden="1"/>
    </xf>
    <xf numFmtId="0" fontId="23" fillId="0" borderId="119" xfId="0" applyFont="1" applyBorder="1" applyAlignment="1" applyProtection="1">
      <alignment horizontal="distributed" vertical="center" wrapText="1"/>
      <protection hidden="1"/>
    </xf>
    <xf numFmtId="0" fontId="23" fillId="0" borderId="4" xfId="0" applyFont="1" applyBorder="1" applyAlignment="1" applyProtection="1">
      <alignment horizontal="distributed" vertical="center" wrapText="1"/>
      <protection hidden="1"/>
    </xf>
    <xf numFmtId="190" fontId="24" fillId="0" borderId="106" xfId="0" applyNumberFormat="1" applyFont="1" applyBorder="1" applyAlignment="1" applyProtection="1">
      <alignment horizontal="center" vertical="center" shrinkToFit="1"/>
      <protection hidden="1"/>
    </xf>
    <xf numFmtId="190" fontId="24" fillId="0" borderId="107" xfId="0" applyNumberFormat="1" applyFont="1" applyBorder="1" applyAlignment="1" applyProtection="1">
      <alignment horizontal="center" vertical="center" shrinkToFit="1"/>
      <protection hidden="1"/>
    </xf>
    <xf numFmtId="190" fontId="24" fillId="0" borderId="108" xfId="0" applyNumberFormat="1" applyFont="1" applyBorder="1" applyAlignment="1" applyProtection="1">
      <alignment horizontal="center" vertical="center" shrinkToFit="1"/>
      <protection hidden="1"/>
    </xf>
    <xf numFmtId="178" fontId="24" fillId="0" borderId="106" xfId="0" applyNumberFormat="1" applyFont="1" applyBorder="1" applyAlignment="1" applyProtection="1">
      <alignment horizontal="center" vertical="center"/>
      <protection hidden="1"/>
    </xf>
    <xf numFmtId="178" fontId="24" fillId="0" borderId="107" xfId="0" applyNumberFormat="1" applyFont="1" applyBorder="1" applyAlignment="1" applyProtection="1">
      <alignment horizontal="center" vertical="center"/>
      <protection hidden="1"/>
    </xf>
    <xf numFmtId="178" fontId="24" fillId="0" borderId="108" xfId="0" applyNumberFormat="1" applyFont="1" applyBorder="1" applyAlignment="1" applyProtection="1">
      <alignment horizontal="center" vertical="center"/>
      <protection hidden="1"/>
    </xf>
    <xf numFmtId="179" fontId="24" fillId="0" borderId="106" xfId="0" applyNumberFormat="1" applyFont="1" applyBorder="1" applyAlignment="1" applyProtection="1">
      <alignment horizontal="center" vertical="center"/>
      <protection hidden="1"/>
    </xf>
    <xf numFmtId="179" fontId="24" fillId="0" borderId="107" xfId="0" applyNumberFormat="1" applyFont="1" applyBorder="1" applyAlignment="1" applyProtection="1">
      <alignment horizontal="center" vertical="center"/>
      <protection hidden="1"/>
    </xf>
    <xf numFmtId="179" fontId="24" fillId="0" borderId="108" xfId="0" applyNumberFormat="1" applyFont="1" applyBorder="1" applyAlignment="1" applyProtection="1">
      <alignment horizontal="center" vertical="center"/>
      <protection hidden="1"/>
    </xf>
    <xf numFmtId="180" fontId="24" fillId="0" borderId="106" xfId="0" applyNumberFormat="1" applyFont="1" applyBorder="1" applyAlignment="1" applyProtection="1">
      <alignment horizontal="center" vertical="center"/>
      <protection hidden="1"/>
    </xf>
    <xf numFmtId="180" fontId="24" fillId="0" borderId="107" xfId="0" applyNumberFormat="1" applyFont="1" applyBorder="1" applyAlignment="1" applyProtection="1">
      <alignment horizontal="center" vertical="center"/>
      <protection hidden="1"/>
    </xf>
    <xf numFmtId="180" fontId="24" fillId="0" borderId="108" xfId="0" applyNumberFormat="1" applyFont="1" applyBorder="1" applyAlignment="1" applyProtection="1">
      <alignment horizontal="center" vertical="center"/>
      <protection hidden="1"/>
    </xf>
    <xf numFmtId="0" fontId="24" fillId="0" borderId="106" xfId="0" applyFont="1" applyBorder="1" applyAlignment="1" applyProtection="1">
      <alignment horizontal="center" vertical="center"/>
      <protection hidden="1"/>
    </xf>
    <xf numFmtId="0" fontId="24" fillId="0" borderId="107" xfId="0" applyFont="1" applyBorder="1" applyAlignment="1" applyProtection="1">
      <alignment horizontal="center" vertical="center"/>
      <protection hidden="1"/>
    </xf>
    <xf numFmtId="0" fontId="24" fillId="0" borderId="108" xfId="0" applyFont="1" applyBorder="1" applyAlignment="1" applyProtection="1">
      <alignment horizontal="center" vertical="center"/>
      <protection hidden="1"/>
    </xf>
    <xf numFmtId="0" fontId="22" fillId="0" borderId="4" xfId="0" applyFont="1" applyBorder="1" applyAlignment="1" applyProtection="1">
      <alignment horizontal="left" vertical="center" indent="1"/>
      <protection hidden="1"/>
    </xf>
    <xf numFmtId="0" fontId="24" fillId="0" borderId="106" xfId="0" applyFont="1" applyBorder="1" applyAlignment="1" applyProtection="1">
      <alignment horizontal="center" vertical="center" shrinkToFit="1"/>
      <protection hidden="1"/>
    </xf>
    <xf numFmtId="0" fontId="24" fillId="0" borderId="107" xfId="0" applyFont="1" applyBorder="1" applyAlignment="1" applyProtection="1">
      <alignment horizontal="center" vertical="center" shrinkToFit="1"/>
      <protection hidden="1"/>
    </xf>
    <xf numFmtId="0" fontId="24" fillId="0" borderId="108" xfId="0" applyFont="1" applyBorder="1" applyAlignment="1" applyProtection="1">
      <alignment horizontal="center" vertical="center" shrinkToFit="1"/>
      <protection hidden="1"/>
    </xf>
    <xf numFmtId="38" fontId="24" fillId="0" borderId="106" xfId="2" applyFont="1" applyBorder="1" applyAlignment="1" applyProtection="1">
      <alignment horizontal="center" vertical="center" shrinkToFit="1"/>
      <protection hidden="1"/>
    </xf>
    <xf numFmtId="38" fontId="24" fillId="0" borderId="107" xfId="2" applyFont="1" applyBorder="1" applyAlignment="1" applyProtection="1">
      <alignment horizontal="center" vertical="center" shrinkToFit="1"/>
      <protection hidden="1"/>
    </xf>
    <xf numFmtId="38" fontId="24" fillId="0" borderId="108" xfId="2" applyFont="1" applyBorder="1" applyAlignment="1" applyProtection="1">
      <alignment horizontal="center" vertical="center" shrinkToFit="1"/>
      <protection hidden="1"/>
    </xf>
    <xf numFmtId="0" fontId="16" fillId="0" borderId="0" xfId="0" applyFont="1" applyAlignment="1">
      <alignment horizontal="right" vertical="center" shrinkToFit="1"/>
    </xf>
    <xf numFmtId="0" fontId="23" fillId="0" borderId="0" xfId="0" quotePrefix="1" applyFont="1" applyAlignment="1">
      <alignment horizontal="center" vertical="top"/>
    </xf>
    <xf numFmtId="0" fontId="23" fillId="0" borderId="0" xfId="0" applyFont="1" applyAlignment="1">
      <alignment horizontal="center" vertical="top"/>
    </xf>
    <xf numFmtId="0" fontId="23" fillId="0" borderId="120" xfId="0" applyFont="1" applyBorder="1" applyProtection="1">
      <protection hidden="1"/>
    </xf>
    <xf numFmtId="1" fontId="24" fillId="0" borderId="120" xfId="0" applyNumberFormat="1" applyFont="1" applyBorder="1" applyAlignment="1" applyProtection="1">
      <alignment horizontal="left" vertical="center" indent="1" shrinkToFit="1"/>
      <protection hidden="1"/>
    </xf>
    <xf numFmtId="1" fontId="24" fillId="0" borderId="121" xfId="0" applyNumberFormat="1" applyFont="1" applyBorder="1" applyAlignment="1" applyProtection="1">
      <alignment horizontal="left" vertical="center" indent="1" shrinkToFit="1"/>
      <protection hidden="1"/>
    </xf>
    <xf numFmtId="0" fontId="6" fillId="0" borderId="31" xfId="0" applyFont="1" applyBorder="1" applyAlignment="1" applyProtection="1">
      <alignment horizontal="distributed" vertical="distributed" wrapText="1"/>
      <protection hidden="1"/>
    </xf>
    <xf numFmtId="0" fontId="6" fillId="0" borderId="32" xfId="0" applyFont="1" applyBorder="1" applyAlignment="1" applyProtection="1">
      <alignment horizontal="distributed" vertical="distributed" wrapText="1"/>
      <protection hidden="1"/>
    </xf>
    <xf numFmtId="0" fontId="6" fillId="0" borderId="33" xfId="0" applyFont="1" applyBorder="1" applyAlignment="1" applyProtection="1">
      <alignment horizontal="distributed" vertical="distributed" wrapText="1"/>
      <protection hidden="1"/>
    </xf>
    <xf numFmtId="0" fontId="6" fillId="0" borderId="34" xfId="0" applyFont="1" applyBorder="1" applyAlignment="1" applyProtection="1">
      <alignment horizontal="distributed" vertical="distributed" wrapText="1"/>
      <protection hidden="1"/>
    </xf>
    <xf numFmtId="0" fontId="6" fillId="0" borderId="50" xfId="0" applyFont="1" applyBorder="1" applyAlignment="1" applyProtection="1">
      <alignment horizontal="distributed" vertical="distributed" wrapText="1"/>
      <protection hidden="1"/>
    </xf>
    <xf numFmtId="0" fontId="6" fillId="0" borderId="35" xfId="0" applyFont="1" applyBorder="1" applyAlignment="1" applyProtection="1">
      <alignment horizontal="distributed" vertical="distributed" wrapText="1"/>
      <protection hidden="1"/>
    </xf>
    <xf numFmtId="0" fontId="6" fillId="0" borderId="118" xfId="0" applyFont="1" applyBorder="1" applyAlignment="1" applyProtection="1">
      <alignment horizontal="distributed" vertical="distributed" wrapText="1"/>
      <protection hidden="1"/>
    </xf>
    <xf numFmtId="0" fontId="6" fillId="0" borderId="51" xfId="0" applyFont="1" applyBorder="1" applyAlignment="1" applyProtection="1">
      <alignment horizontal="distributed" vertical="distributed" wrapText="1"/>
      <protection hidden="1"/>
    </xf>
    <xf numFmtId="0" fontId="6" fillId="0" borderId="52" xfId="0" applyFont="1" applyBorder="1" applyAlignment="1" applyProtection="1">
      <alignment horizontal="distributed" vertical="distributed" wrapText="1"/>
      <protection hidden="1"/>
    </xf>
    <xf numFmtId="0" fontId="6" fillId="0" borderId="124" xfId="0" applyFont="1" applyBorder="1" applyAlignment="1" applyProtection="1">
      <alignment horizontal="center" vertical="center"/>
      <protection hidden="1"/>
    </xf>
    <xf numFmtId="0" fontId="6" fillId="0" borderId="122" xfId="0" applyFont="1" applyBorder="1" applyAlignment="1" applyProtection="1">
      <alignment horizontal="center" vertical="center"/>
      <protection hidden="1"/>
    </xf>
    <xf numFmtId="0" fontId="6" fillId="0" borderId="65" xfId="0" applyFont="1" applyBorder="1" applyAlignment="1" applyProtection="1">
      <alignment horizontal="center" vertical="center"/>
      <protection hidden="1"/>
    </xf>
    <xf numFmtId="180" fontId="24" fillId="0" borderId="106" xfId="0" applyNumberFormat="1" applyFont="1" applyBorder="1" applyAlignment="1" applyProtection="1">
      <alignment horizontal="center" vertical="center" shrinkToFit="1"/>
      <protection hidden="1"/>
    </xf>
    <xf numFmtId="180" fontId="24" fillId="0" borderId="107" xfId="0" applyNumberFormat="1" applyFont="1" applyBorder="1" applyAlignment="1" applyProtection="1">
      <alignment horizontal="center" vertical="center" shrinkToFit="1"/>
      <protection hidden="1"/>
    </xf>
    <xf numFmtId="180" fontId="24" fillId="0" borderId="108" xfId="0" applyNumberFormat="1" applyFont="1" applyBorder="1" applyAlignment="1" applyProtection="1">
      <alignment horizontal="center" vertical="center" shrinkToFit="1"/>
      <protection hidden="1"/>
    </xf>
    <xf numFmtId="0" fontId="6" fillId="0" borderId="1" xfId="0" applyFont="1" applyBorder="1" applyAlignment="1" applyProtection="1">
      <alignment horizontal="distributed" vertical="center" indent="4"/>
      <protection hidden="1"/>
    </xf>
    <xf numFmtId="0" fontId="6" fillId="0" borderId="125" xfId="0" applyFont="1" applyBorder="1" applyAlignment="1" applyProtection="1">
      <alignment horizontal="center" vertical="center"/>
      <protection hidden="1"/>
    </xf>
    <xf numFmtId="0" fontId="6" fillId="0" borderId="126" xfId="0" applyFont="1" applyBorder="1" applyAlignment="1" applyProtection="1">
      <alignment horizontal="center" vertical="center"/>
      <protection hidden="1"/>
    </xf>
    <xf numFmtId="0" fontId="6" fillId="0" borderId="127" xfId="0" applyFont="1" applyBorder="1" applyAlignment="1" applyProtection="1">
      <alignment horizontal="center" vertical="center"/>
      <protection hidden="1"/>
    </xf>
    <xf numFmtId="0" fontId="6" fillId="0" borderId="104" xfId="0" applyFont="1" applyBorder="1" applyAlignment="1" applyProtection="1">
      <alignment horizontal="center" vertical="center" textRotation="255" shrinkToFit="1"/>
      <protection hidden="1"/>
    </xf>
    <xf numFmtId="0" fontId="6" fillId="0" borderId="49" xfId="0" applyFont="1" applyBorder="1" applyAlignment="1" applyProtection="1">
      <alignment horizontal="center" vertical="center" textRotation="255" shrinkToFit="1"/>
      <protection hidden="1"/>
    </xf>
    <xf numFmtId="0" fontId="6" fillId="0" borderId="62" xfId="0" applyFont="1" applyBorder="1" applyAlignment="1" applyProtection="1">
      <alignment horizontal="center" vertical="center" textRotation="255" shrinkToFit="1"/>
      <protection hidden="1"/>
    </xf>
    <xf numFmtId="0" fontId="6" fillId="0" borderId="40" xfId="0" applyFont="1" applyBorder="1" applyAlignment="1" applyProtection="1">
      <alignment horizontal="center" vertical="center" textRotation="255" shrinkToFit="1"/>
      <protection hidden="1"/>
    </xf>
    <xf numFmtId="0" fontId="6" fillId="0" borderId="0" xfId="0" applyFont="1" applyAlignment="1" applyProtection="1">
      <alignment horizontal="center" vertical="center" textRotation="255" shrinkToFit="1"/>
      <protection hidden="1"/>
    </xf>
    <xf numFmtId="0" fontId="6" fillId="0" borderId="41" xfId="0" applyFont="1" applyBorder="1" applyAlignment="1" applyProtection="1">
      <alignment horizontal="center" vertical="center" textRotation="255" shrinkToFit="1"/>
      <protection hidden="1"/>
    </xf>
    <xf numFmtId="0" fontId="6" fillId="0" borderId="95" xfId="0" applyFont="1" applyBorder="1" applyAlignment="1" applyProtection="1">
      <alignment horizontal="center" vertical="center" textRotation="255" shrinkToFit="1"/>
      <protection hidden="1"/>
    </xf>
    <xf numFmtId="0" fontId="6" fillId="0" borderId="43" xfId="0" applyFont="1" applyBorder="1" applyAlignment="1" applyProtection="1">
      <alignment horizontal="center" vertical="center" textRotation="255" shrinkToFit="1"/>
      <protection hidden="1"/>
    </xf>
    <xf numFmtId="0" fontId="6" fillId="0" borderId="96" xfId="0" applyFont="1" applyBorder="1" applyAlignment="1" applyProtection="1">
      <alignment horizontal="center" vertical="center" textRotation="255" shrinkToFit="1"/>
      <protection hidden="1"/>
    </xf>
    <xf numFmtId="0" fontId="6" fillId="0" borderId="104" xfId="0" applyFont="1" applyBorder="1" applyAlignment="1" applyProtection="1">
      <alignment horizontal="center" vertical="distributed" textRotation="255" wrapText="1"/>
      <protection hidden="1"/>
    </xf>
    <xf numFmtId="0" fontId="6" fillId="0" borderId="49" xfId="0" applyFont="1" applyBorder="1" applyAlignment="1" applyProtection="1">
      <alignment horizontal="center" vertical="distributed" textRotation="255" wrapText="1"/>
      <protection hidden="1"/>
    </xf>
    <xf numFmtId="0" fontId="6" fillId="0" borderId="62" xfId="0" applyFont="1" applyBorder="1" applyAlignment="1" applyProtection="1">
      <alignment horizontal="center" vertical="distributed" textRotation="255" wrapText="1"/>
      <protection hidden="1"/>
    </xf>
    <xf numFmtId="0" fontId="6" fillId="0" borderId="40" xfId="0" applyFont="1" applyBorder="1" applyAlignment="1" applyProtection="1">
      <alignment horizontal="center" vertical="distributed" textRotation="255" wrapText="1"/>
      <protection hidden="1"/>
    </xf>
    <xf numFmtId="0" fontId="6" fillId="0" borderId="0" xfId="0" applyFont="1" applyAlignment="1" applyProtection="1">
      <alignment horizontal="center" vertical="distributed" textRotation="255" wrapText="1"/>
      <protection hidden="1"/>
    </xf>
    <xf numFmtId="0" fontId="6" fillId="0" borderId="41" xfId="0" applyFont="1" applyBorder="1" applyAlignment="1" applyProtection="1">
      <alignment horizontal="center" vertical="distributed" textRotation="255" wrapText="1"/>
      <protection hidden="1"/>
    </xf>
    <xf numFmtId="0" fontId="6" fillId="0" borderId="95" xfId="0" applyFont="1" applyBorder="1" applyAlignment="1" applyProtection="1">
      <alignment horizontal="center" vertical="distributed" textRotation="255" wrapText="1"/>
      <protection hidden="1"/>
    </xf>
    <xf numFmtId="0" fontId="6" fillId="0" borderId="43" xfId="0" applyFont="1" applyBorder="1" applyAlignment="1" applyProtection="1">
      <alignment horizontal="center" vertical="distributed" textRotation="255" wrapText="1"/>
      <protection hidden="1"/>
    </xf>
    <xf numFmtId="0" fontId="6" fillId="0" borderId="96" xfId="0" applyFont="1" applyBorder="1" applyAlignment="1" applyProtection="1">
      <alignment horizontal="center" vertical="distributed" textRotation="255" wrapText="1"/>
      <protection hidden="1"/>
    </xf>
    <xf numFmtId="0" fontId="24" fillId="0" borderId="0" xfId="0" applyFont="1" applyAlignment="1" applyProtection="1">
      <alignment horizontal="center" vertical="top" textRotation="255" shrinkToFit="1"/>
      <protection hidden="1"/>
    </xf>
    <xf numFmtId="0" fontId="24" fillId="0" borderId="64" xfId="0" applyFont="1" applyBorder="1" applyAlignment="1" applyProtection="1">
      <alignment horizontal="center" vertical="top" textRotation="255" shrinkToFit="1"/>
      <protection hidden="1"/>
    </xf>
    <xf numFmtId="0" fontId="6" fillId="0" borderId="104" xfId="0" applyFont="1" applyBorder="1" applyAlignment="1" applyProtection="1">
      <alignment horizontal="center" vertical="distributed" textRotation="255"/>
      <protection hidden="1"/>
    </xf>
    <xf numFmtId="0" fontId="6" fillId="0" borderId="49" xfId="0" applyFont="1" applyBorder="1" applyAlignment="1" applyProtection="1">
      <alignment horizontal="center" vertical="distributed" textRotation="255"/>
      <protection hidden="1"/>
    </xf>
    <xf numFmtId="0" fontId="6" fillId="0" borderId="62" xfId="0" applyFont="1" applyBorder="1" applyAlignment="1" applyProtection="1">
      <alignment horizontal="center" vertical="distributed" textRotation="255"/>
      <protection hidden="1"/>
    </xf>
    <xf numFmtId="0" fontId="6" fillId="0" borderId="40" xfId="0" applyFont="1" applyBorder="1" applyAlignment="1" applyProtection="1">
      <alignment horizontal="center" vertical="distributed" textRotation="255"/>
      <protection hidden="1"/>
    </xf>
    <xf numFmtId="0" fontId="6" fillId="0" borderId="0" xfId="0" applyFont="1" applyAlignment="1" applyProtection="1">
      <alignment horizontal="center" vertical="distributed" textRotation="255"/>
      <protection hidden="1"/>
    </xf>
    <xf numFmtId="0" fontId="6" fillId="0" borderId="41" xfId="0" applyFont="1" applyBorder="1" applyAlignment="1" applyProtection="1">
      <alignment horizontal="center" vertical="distributed" textRotation="255"/>
      <protection hidden="1"/>
    </xf>
    <xf numFmtId="0" fontId="6" fillId="0" borderId="95" xfId="0" applyFont="1" applyBorder="1" applyAlignment="1" applyProtection="1">
      <alignment horizontal="center" vertical="distributed" textRotation="255"/>
      <protection hidden="1"/>
    </xf>
    <xf numFmtId="0" fontId="6" fillId="0" borderId="43" xfId="0" applyFont="1" applyBorder="1" applyAlignment="1" applyProtection="1">
      <alignment horizontal="center" vertical="distributed" textRotation="255"/>
      <protection hidden="1"/>
    </xf>
    <xf numFmtId="0" fontId="6" fillId="0" borderId="96" xfId="0" applyFont="1" applyBorder="1" applyAlignment="1" applyProtection="1">
      <alignment horizontal="center" vertical="distributed" textRotation="255"/>
      <protection hidden="1"/>
    </xf>
    <xf numFmtId="0" fontId="6" fillId="0" borderId="104" xfId="0" applyFont="1" applyBorder="1" applyAlignment="1" applyProtection="1">
      <alignment vertical="distributed" textRotation="255" wrapText="1"/>
      <protection hidden="1"/>
    </xf>
    <xf numFmtId="0" fontId="6" fillId="0" borderId="49" xfId="0" applyFont="1" applyBorder="1" applyAlignment="1" applyProtection="1">
      <alignment vertical="distributed" textRotation="255" wrapText="1"/>
      <protection hidden="1"/>
    </xf>
    <xf numFmtId="0" fontId="6" fillId="0" borderId="62" xfId="0" applyFont="1" applyBorder="1" applyAlignment="1" applyProtection="1">
      <alignment vertical="distributed" textRotation="255" wrapText="1"/>
      <protection hidden="1"/>
    </xf>
    <xf numFmtId="0" fontId="6" fillId="0" borderId="40" xfId="0" applyFont="1" applyBorder="1" applyAlignment="1" applyProtection="1">
      <alignment vertical="distributed" textRotation="255" wrapText="1"/>
      <protection hidden="1"/>
    </xf>
    <xf numFmtId="0" fontId="6" fillId="0" borderId="0" xfId="0" applyFont="1" applyAlignment="1" applyProtection="1">
      <alignment vertical="distributed" textRotation="255" wrapText="1"/>
      <protection hidden="1"/>
    </xf>
    <xf numFmtId="0" fontId="6" fillId="0" borderId="41" xfId="0" applyFont="1" applyBorder="1" applyAlignment="1" applyProtection="1">
      <alignment vertical="distributed" textRotation="255" wrapText="1"/>
      <protection hidden="1"/>
    </xf>
    <xf numFmtId="0" fontId="6" fillId="0" borderId="95" xfId="0" applyFont="1" applyBorder="1" applyAlignment="1" applyProtection="1">
      <alignment vertical="distributed" textRotation="255" wrapText="1"/>
      <protection hidden="1"/>
    </xf>
    <xf numFmtId="0" fontId="6" fillId="0" borderId="43" xfId="0" applyFont="1" applyBorder="1" applyAlignment="1" applyProtection="1">
      <alignment vertical="distributed" textRotation="255" wrapText="1"/>
      <protection hidden="1"/>
    </xf>
    <xf numFmtId="0" fontId="6" fillId="0" borderId="96" xfId="0" applyFont="1" applyBorder="1" applyAlignment="1" applyProtection="1">
      <alignment vertical="distributed" textRotation="255" wrapText="1"/>
      <protection hidden="1"/>
    </xf>
    <xf numFmtId="0" fontId="6" fillId="0" borderId="106" xfId="0" applyFont="1" applyBorder="1" applyAlignment="1" applyProtection="1">
      <alignment horizontal="center" vertical="center" shrinkToFit="1"/>
      <protection hidden="1"/>
    </xf>
    <xf numFmtId="0" fontId="6" fillId="0" borderId="107" xfId="0" applyFont="1" applyBorder="1" applyAlignment="1" applyProtection="1">
      <alignment horizontal="center" vertical="center" shrinkToFit="1"/>
      <protection hidden="1"/>
    </xf>
    <xf numFmtId="0" fontId="6" fillId="0" borderId="108" xfId="0" applyFont="1" applyBorder="1" applyAlignment="1" applyProtection="1">
      <alignment horizontal="center" vertical="center" shrinkToFit="1"/>
      <protection hidden="1"/>
    </xf>
    <xf numFmtId="179" fontId="24" fillId="0" borderId="106" xfId="0" applyNumberFormat="1" applyFont="1" applyBorder="1" applyAlignment="1" applyProtection="1">
      <alignment horizontal="center" vertical="center" shrinkToFit="1"/>
      <protection hidden="1"/>
    </xf>
    <xf numFmtId="179" fontId="24" fillId="0" borderId="107" xfId="0" applyNumberFormat="1" applyFont="1" applyBorder="1" applyAlignment="1" applyProtection="1">
      <alignment horizontal="center" vertical="center" shrinkToFit="1"/>
      <protection hidden="1"/>
    </xf>
    <xf numFmtId="179" fontId="24" fillId="0" borderId="108" xfId="0" applyNumberFormat="1" applyFont="1" applyBorder="1" applyAlignment="1" applyProtection="1">
      <alignment horizontal="center" vertical="center" shrinkToFit="1"/>
      <protection hidden="1"/>
    </xf>
    <xf numFmtId="0" fontId="24" fillId="0" borderId="106" xfId="0" applyFont="1" applyBorder="1" applyAlignment="1">
      <alignment horizontal="center" vertical="center"/>
    </xf>
    <xf numFmtId="0" fontId="24" fillId="0" borderId="107" xfId="0" applyFont="1" applyBorder="1" applyAlignment="1">
      <alignment horizontal="center" vertical="center"/>
    </xf>
    <xf numFmtId="0" fontId="24" fillId="0" borderId="108" xfId="0" applyFont="1" applyBorder="1" applyAlignment="1">
      <alignment horizontal="center" vertical="center"/>
    </xf>
    <xf numFmtId="0" fontId="35" fillId="0" borderId="0" xfId="0" applyFont="1" applyAlignment="1" applyProtection="1">
      <alignment horizontal="distributed" vertical="center"/>
      <protection hidden="1"/>
    </xf>
    <xf numFmtId="1" fontId="16" fillId="0" borderId="55" xfId="0" applyNumberFormat="1" applyFont="1" applyBorder="1" applyAlignment="1" applyProtection="1">
      <alignment horizontal="left" vertical="center" shrinkToFit="1"/>
      <protection hidden="1"/>
    </xf>
    <xf numFmtId="1" fontId="16" fillId="0" borderId="56" xfId="0" applyNumberFormat="1" applyFont="1" applyBorder="1" applyAlignment="1" applyProtection="1">
      <alignment horizontal="left" vertical="center" shrinkToFit="1"/>
      <protection hidden="1"/>
    </xf>
    <xf numFmtId="0" fontId="6" fillId="0" borderId="54" xfId="0" applyFont="1" applyBorder="1" applyAlignment="1" applyProtection="1">
      <alignment horizontal="center" vertical="distributed" textRotation="255" justifyLastLine="1"/>
      <protection hidden="1"/>
    </xf>
    <xf numFmtId="0" fontId="6" fillId="0" borderId="55" xfId="0" applyFont="1" applyBorder="1" applyAlignment="1" applyProtection="1">
      <alignment horizontal="center" vertical="distributed" textRotation="255" justifyLastLine="1"/>
      <protection hidden="1"/>
    </xf>
    <xf numFmtId="0" fontId="6" fillId="0" borderId="56" xfId="0" applyFont="1" applyBorder="1" applyAlignment="1" applyProtection="1">
      <alignment horizontal="center" vertical="distributed" textRotation="255" justifyLastLine="1"/>
      <protection hidden="1"/>
    </xf>
    <xf numFmtId="38" fontId="24" fillId="0" borderId="60" xfId="2" applyFont="1" applyFill="1" applyBorder="1" applyAlignment="1" applyProtection="1">
      <alignment horizontal="center" vertical="center" shrinkToFit="1"/>
      <protection hidden="1"/>
    </xf>
    <xf numFmtId="38" fontId="24" fillId="0" borderId="59" xfId="2" applyFont="1" applyFill="1" applyBorder="1" applyAlignment="1" applyProtection="1">
      <alignment horizontal="center" vertical="center" shrinkToFit="1"/>
      <protection hidden="1"/>
    </xf>
    <xf numFmtId="38" fontId="24" fillId="0" borderId="58" xfId="2" applyFont="1" applyFill="1" applyBorder="1" applyAlignment="1" applyProtection="1">
      <alignment horizontal="center" vertical="center" shrinkToFit="1"/>
      <protection hidden="1"/>
    </xf>
    <xf numFmtId="0" fontId="23" fillId="0" borderId="54" xfId="0" applyFont="1" applyBorder="1" applyAlignment="1" applyProtection="1">
      <alignment vertical="top"/>
      <protection hidden="1"/>
    </xf>
    <xf numFmtId="0" fontId="23" fillId="0" borderId="55" xfId="0" applyFont="1" applyBorder="1" applyAlignment="1" applyProtection="1">
      <alignment vertical="top"/>
      <protection hidden="1"/>
    </xf>
    <xf numFmtId="38" fontId="24" fillId="0" borderId="57" xfId="2" applyFont="1" applyFill="1" applyBorder="1" applyAlignment="1" applyProtection="1">
      <alignment horizontal="center" vertical="center" shrinkToFit="1"/>
      <protection hidden="1"/>
    </xf>
    <xf numFmtId="0" fontId="23" fillId="0" borderId="53" xfId="0" applyFont="1" applyBorder="1" applyAlignment="1" applyProtection="1">
      <alignment horizontal="distributed" vertical="center" wrapText="1" justifyLastLine="1"/>
      <protection hidden="1"/>
    </xf>
    <xf numFmtId="0" fontId="23" fillId="0" borderId="53" xfId="0" applyFont="1" applyBorder="1" applyAlignment="1" applyProtection="1">
      <alignment horizontal="distributed" vertical="center" justifyLastLine="1"/>
      <protection hidden="1"/>
    </xf>
    <xf numFmtId="0" fontId="6" fillId="0" borderId="53" xfId="0" applyFont="1" applyBorder="1" applyAlignment="1" applyProtection="1">
      <alignment horizontal="center" vertical="center" justifyLastLine="1"/>
      <protection hidden="1"/>
    </xf>
    <xf numFmtId="0" fontId="6" fillId="0" borderId="53" xfId="0" applyFont="1" applyBorder="1" applyAlignment="1" applyProtection="1">
      <alignment horizontal="distributed" vertical="center" justifyLastLine="1"/>
      <protection hidden="1"/>
    </xf>
    <xf numFmtId="0" fontId="23" fillId="0" borderId="55" xfId="0" applyFont="1" applyBorder="1" applyAlignment="1" applyProtection="1">
      <alignment vertical="top" shrinkToFit="1"/>
      <protection hidden="1"/>
    </xf>
    <xf numFmtId="1" fontId="16" fillId="0" borderId="55" xfId="0" applyNumberFormat="1" applyFont="1" applyBorder="1" applyAlignment="1" applyProtection="1">
      <alignment horizontal="distributed" vertical="center" justifyLastLine="1"/>
      <protection hidden="1"/>
    </xf>
    <xf numFmtId="1" fontId="16" fillId="0" borderId="56" xfId="0" applyNumberFormat="1" applyFont="1" applyBorder="1" applyAlignment="1" applyProtection="1">
      <alignment horizontal="distributed" vertical="center" justifyLastLine="1"/>
      <protection hidden="1"/>
    </xf>
    <xf numFmtId="1" fontId="22" fillId="0" borderId="55" xfId="0" applyNumberFormat="1" applyFont="1" applyBorder="1" applyAlignment="1" applyProtection="1">
      <alignment horizontal="distributed" vertical="center" justifyLastLine="1"/>
      <protection hidden="1"/>
    </xf>
    <xf numFmtId="1" fontId="22" fillId="0" borderId="56" xfId="0" applyNumberFormat="1" applyFont="1" applyBorder="1" applyAlignment="1" applyProtection="1">
      <alignment horizontal="distributed" vertical="center" justifyLastLine="1"/>
      <protection hidden="1"/>
    </xf>
    <xf numFmtId="0" fontId="6" fillId="0" borderId="54" xfId="0" applyFont="1" applyBorder="1" applyAlignment="1" applyProtection="1">
      <alignment horizontal="distributed" vertical="center" wrapText="1"/>
      <protection hidden="1"/>
    </xf>
    <xf numFmtId="0" fontId="6" fillId="0" borderId="55" xfId="0" applyFont="1" applyBorder="1" applyAlignment="1" applyProtection="1">
      <alignment horizontal="distributed" vertical="center" wrapText="1"/>
      <protection hidden="1"/>
    </xf>
    <xf numFmtId="0" fontId="6" fillId="0" borderId="55" xfId="0" applyFont="1" applyBorder="1" applyAlignment="1" applyProtection="1">
      <alignment horizontal="distributed" vertical="center"/>
      <protection hidden="1"/>
    </xf>
    <xf numFmtId="0" fontId="6" fillId="0" borderId="54" xfId="0" applyFont="1" applyBorder="1" applyAlignment="1" applyProtection="1">
      <alignment horizontal="distributed" vertical="center"/>
      <protection hidden="1"/>
    </xf>
    <xf numFmtId="0" fontId="6" fillId="0" borderId="13" xfId="0" applyFont="1" applyBorder="1" applyAlignment="1" applyProtection="1">
      <alignment horizontal="center" vertical="distributed" textRotation="255" justifyLastLine="1"/>
      <protection hidden="1"/>
    </xf>
    <xf numFmtId="0" fontId="6" fillId="0" borderId="15" xfId="0" applyFont="1" applyBorder="1" applyAlignment="1" applyProtection="1">
      <alignment horizontal="center" vertical="distributed" textRotation="255" justifyLastLine="1"/>
      <protection hidden="1"/>
    </xf>
    <xf numFmtId="0" fontId="6" fillId="0" borderId="11" xfId="0" applyFont="1" applyBorder="1" applyAlignment="1" applyProtection="1">
      <alignment horizontal="center" vertical="distributed" textRotation="255" justifyLastLine="1"/>
      <protection hidden="1"/>
    </xf>
    <xf numFmtId="0" fontId="6" fillId="0" borderId="14" xfId="0" applyFont="1" applyBorder="1" applyAlignment="1" applyProtection="1">
      <alignment horizontal="center" vertical="distributed" textRotation="255" justifyLastLine="1"/>
      <protection hidden="1"/>
    </xf>
    <xf numFmtId="0" fontId="6" fillId="0" borderId="8" xfId="0" applyFont="1" applyBorder="1" applyAlignment="1" applyProtection="1">
      <alignment horizontal="center" vertical="distributed" textRotation="255" justifyLastLine="1"/>
      <protection hidden="1"/>
    </xf>
    <xf numFmtId="0" fontId="6" fillId="0" borderId="17" xfId="0" applyFont="1" applyBorder="1" applyAlignment="1" applyProtection="1">
      <alignment horizontal="center" vertical="distributed" textRotation="255" justifyLastLine="1"/>
      <protection hidden="1"/>
    </xf>
    <xf numFmtId="0" fontId="6" fillId="0" borderId="20" xfId="0" applyFont="1" applyBorder="1" applyAlignment="1" applyProtection="1">
      <alignment horizontal="center" vertical="distributed" textRotation="255" justifyLastLine="1"/>
      <protection hidden="1"/>
    </xf>
    <xf numFmtId="0" fontId="6" fillId="0" borderId="18" xfId="0" applyFont="1" applyBorder="1" applyAlignment="1" applyProtection="1">
      <alignment horizontal="center" vertical="distributed" textRotation="255" justifyLastLine="1"/>
      <protection hidden="1"/>
    </xf>
    <xf numFmtId="0" fontId="22" fillId="0" borderId="61" xfId="0" applyFont="1" applyBorder="1" applyAlignment="1" applyProtection="1">
      <alignment horizontal="left" vertical="center" wrapText="1" indent="1"/>
      <protection hidden="1"/>
    </xf>
    <xf numFmtId="0" fontId="22" fillId="0" borderId="14" xfId="0" applyFont="1" applyBorder="1" applyAlignment="1" applyProtection="1">
      <alignment horizontal="left" vertical="center" wrapText="1" indent="1"/>
      <protection hidden="1"/>
    </xf>
    <xf numFmtId="0" fontId="22" fillId="0" borderId="42" xfId="0" applyFont="1" applyBorder="1" applyAlignment="1" applyProtection="1">
      <alignment horizontal="left" vertical="center" wrapText="1" indent="1"/>
      <protection hidden="1"/>
    </xf>
    <xf numFmtId="0" fontId="22" fillId="0" borderId="44" xfId="0" applyFont="1" applyBorder="1" applyAlignment="1" applyProtection="1">
      <alignment horizontal="left" vertical="center" wrapText="1" indent="1"/>
      <protection hidden="1"/>
    </xf>
    <xf numFmtId="0" fontId="40" fillId="0" borderId="55" xfId="0" applyFont="1" applyBorder="1" applyAlignment="1" applyProtection="1">
      <alignment horizontal="center" vertical="center"/>
      <protection hidden="1"/>
    </xf>
    <xf numFmtId="0" fontId="40" fillId="0" borderId="56" xfId="0" applyFont="1" applyBorder="1" applyAlignment="1" applyProtection="1">
      <alignment horizontal="center" vertical="center"/>
      <protection hidden="1"/>
    </xf>
    <xf numFmtId="38" fontId="22" fillId="0" borderId="42" xfId="2" applyFont="1" applyBorder="1" applyAlignment="1" applyProtection="1">
      <alignment horizontal="right" vertical="top" indent="1" shrinkToFit="1"/>
      <protection hidden="1"/>
    </xf>
    <xf numFmtId="38" fontId="22" fillId="0" borderId="44" xfId="2" applyFont="1" applyBorder="1" applyAlignment="1" applyProtection="1">
      <alignment horizontal="right" vertical="top" indent="1" shrinkToFit="1"/>
      <protection hidden="1"/>
    </xf>
    <xf numFmtId="0" fontId="4" fillId="0" borderId="61" xfId="0" applyFont="1" applyBorder="1" applyAlignment="1" applyProtection="1">
      <alignment horizontal="right" vertical="top"/>
      <protection hidden="1"/>
    </xf>
    <xf numFmtId="0" fontId="16" fillId="0" borderId="53" xfId="0" applyFont="1" applyBorder="1" applyAlignment="1" applyProtection="1">
      <alignment horizontal="center" vertical="center"/>
      <protection hidden="1"/>
    </xf>
    <xf numFmtId="0" fontId="4" fillId="0" borderId="61" xfId="0" applyFont="1" applyBorder="1" applyAlignment="1" applyProtection="1">
      <alignment vertical="top"/>
      <protection hidden="1"/>
    </xf>
    <xf numFmtId="38" fontId="4" fillId="0" borderId="72" xfId="2" applyFont="1" applyBorder="1" applyAlignment="1" applyProtection="1">
      <alignment horizontal="center" vertical="center" wrapText="1" shrinkToFit="1"/>
      <protection hidden="1"/>
    </xf>
    <xf numFmtId="38" fontId="4" fillId="0" borderId="73" xfId="2" applyFont="1" applyBorder="1" applyAlignment="1" applyProtection="1">
      <alignment horizontal="center" vertical="center" wrapText="1" shrinkToFit="1"/>
      <protection hidden="1"/>
    </xf>
    <xf numFmtId="38" fontId="4" fillId="0" borderId="86" xfId="2" applyFont="1" applyBorder="1" applyAlignment="1" applyProtection="1">
      <alignment horizontal="center" vertical="center" wrapText="1" shrinkToFit="1"/>
      <protection hidden="1"/>
    </xf>
    <xf numFmtId="38" fontId="4" fillId="0" borderId="1" xfId="2" applyFont="1" applyBorder="1" applyAlignment="1" applyProtection="1">
      <alignment horizontal="center" vertical="center" wrapText="1" shrinkToFit="1"/>
      <protection hidden="1"/>
    </xf>
    <xf numFmtId="38" fontId="4" fillId="0" borderId="78" xfId="2" applyFont="1" applyBorder="1" applyAlignment="1" applyProtection="1">
      <alignment horizontal="center" vertical="center" wrapText="1" shrinkToFit="1"/>
      <protection hidden="1"/>
    </xf>
    <xf numFmtId="38" fontId="4" fillId="0" borderId="79" xfId="2" applyFont="1" applyBorder="1" applyAlignment="1" applyProtection="1">
      <alignment horizontal="center" vertical="center" wrapText="1" shrinkToFit="1"/>
      <protection hidden="1"/>
    </xf>
    <xf numFmtId="38" fontId="8" fillId="0" borderId="73" xfId="2" applyFont="1" applyBorder="1" applyAlignment="1" applyProtection="1">
      <alignment horizontal="center" vertical="center" wrapText="1" shrinkToFit="1"/>
      <protection hidden="1"/>
    </xf>
    <xf numFmtId="38" fontId="8" fillId="0" borderId="1" xfId="2" applyFont="1" applyBorder="1" applyAlignment="1" applyProtection="1">
      <alignment horizontal="center" vertical="center" wrapText="1" shrinkToFit="1"/>
      <protection hidden="1"/>
    </xf>
    <xf numFmtId="38" fontId="6" fillId="0" borderId="74" xfId="2" applyFont="1" applyFill="1" applyBorder="1" applyAlignment="1" applyProtection="1">
      <alignment horizontal="center" vertical="center" shrinkToFit="1"/>
      <protection hidden="1"/>
    </xf>
    <xf numFmtId="38" fontId="6" fillId="0" borderId="69" xfId="2" applyFont="1" applyFill="1" applyBorder="1" applyAlignment="1" applyProtection="1">
      <alignment horizontal="center" vertical="center" shrinkToFit="1"/>
      <protection hidden="1"/>
    </xf>
    <xf numFmtId="38" fontId="6" fillId="0" borderId="68" xfId="2" applyFont="1" applyFill="1" applyBorder="1" applyAlignment="1" applyProtection="1">
      <alignment horizontal="center" vertical="center" shrinkToFit="1"/>
      <protection hidden="1"/>
    </xf>
    <xf numFmtId="38" fontId="4" fillId="0" borderId="74" xfId="2" applyFont="1" applyBorder="1" applyAlignment="1" applyProtection="1">
      <alignment horizontal="center" vertical="center" wrapText="1" shrinkToFit="1"/>
      <protection hidden="1"/>
    </xf>
    <xf numFmtId="38" fontId="4" fillId="0" borderId="69" xfId="2" applyFont="1" applyBorder="1" applyAlignment="1" applyProtection="1">
      <alignment horizontal="center" vertical="center" wrapText="1" shrinkToFit="1"/>
      <protection hidden="1"/>
    </xf>
    <xf numFmtId="38" fontId="4" fillId="0" borderId="65" xfId="2" applyFont="1" applyBorder="1" applyAlignment="1" applyProtection="1">
      <alignment horizontal="center" vertical="center" wrapText="1" shrinkToFit="1"/>
      <protection hidden="1"/>
    </xf>
    <xf numFmtId="38" fontId="8" fillId="0" borderId="79" xfId="2" applyFont="1" applyBorder="1" applyAlignment="1" applyProtection="1">
      <alignment horizontal="center" vertical="center" wrapText="1" shrinkToFit="1"/>
      <protection hidden="1"/>
    </xf>
    <xf numFmtId="0" fontId="4" fillId="0" borderId="67" xfId="0" applyFont="1" applyBorder="1" applyAlignment="1" applyProtection="1">
      <alignment horizontal="right" vertical="top" textRotation="255"/>
      <protection hidden="1"/>
    </xf>
    <xf numFmtId="38" fontId="8" fillId="0" borderId="72" xfId="2" applyFont="1" applyBorder="1" applyAlignment="1" applyProtection="1">
      <alignment horizontal="center" vertical="center" wrapText="1" shrinkToFit="1"/>
      <protection hidden="1"/>
    </xf>
    <xf numFmtId="38" fontId="8" fillId="0" borderId="78" xfId="2" applyFont="1" applyBorder="1" applyAlignment="1" applyProtection="1">
      <alignment horizontal="center" vertical="center" wrapText="1" shrinkToFit="1"/>
      <protection hidden="1"/>
    </xf>
    <xf numFmtId="38" fontId="16" fillId="0" borderId="65" xfId="2" applyFont="1" applyBorder="1" applyAlignment="1">
      <alignment vertical="top" shrinkToFit="1"/>
    </xf>
    <xf numFmtId="38" fontId="16" fillId="0" borderId="87" xfId="2" applyFont="1" applyBorder="1" applyAlignment="1">
      <alignment vertical="top" shrinkToFit="1"/>
    </xf>
    <xf numFmtId="187" fontId="6" fillId="0" borderId="69" xfId="0" applyNumberFormat="1" applyFont="1" applyBorder="1" applyAlignment="1" applyProtection="1">
      <alignment vertical="top" shrinkToFit="1"/>
      <protection hidden="1"/>
    </xf>
    <xf numFmtId="38" fontId="6" fillId="0" borderId="74" xfId="2" applyFont="1" applyBorder="1" applyAlignment="1" applyProtection="1">
      <alignment horizontal="center" vertical="center" wrapText="1" shrinkToFit="1"/>
      <protection hidden="1"/>
    </xf>
    <xf numFmtId="38" fontId="6" fillId="0" borderId="69" xfId="2" applyFont="1" applyBorder="1" applyAlignment="1" applyProtection="1">
      <alignment horizontal="center" vertical="center" wrapText="1" shrinkToFit="1"/>
      <protection hidden="1"/>
    </xf>
    <xf numFmtId="38" fontId="6" fillId="0" borderId="65" xfId="2" applyFont="1" applyBorder="1" applyAlignment="1" applyProtection="1">
      <alignment horizontal="center" vertical="center" wrapText="1" shrinkToFit="1"/>
      <protection hidden="1"/>
    </xf>
    <xf numFmtId="38" fontId="6" fillId="0" borderId="68" xfId="2" applyFont="1" applyBorder="1" applyAlignment="1" applyProtection="1">
      <alignment horizontal="center" vertical="center" wrapText="1" shrinkToFit="1"/>
      <protection hidden="1"/>
    </xf>
    <xf numFmtId="38" fontId="4" fillId="0" borderId="68" xfId="2" applyFont="1" applyBorder="1" applyAlignment="1" applyProtection="1">
      <alignment horizontal="center" vertical="center" wrapText="1" shrinkToFit="1"/>
      <protection hidden="1"/>
    </xf>
    <xf numFmtId="38" fontId="4" fillId="0" borderId="61" xfId="2" applyFont="1" applyBorder="1" applyAlignment="1" applyProtection="1">
      <alignment horizontal="center" vertical="center" wrapText="1" shrinkToFit="1"/>
      <protection hidden="1"/>
    </xf>
    <xf numFmtId="38" fontId="4" fillId="0" borderId="67" xfId="2" applyFont="1" applyBorder="1" applyAlignment="1" applyProtection="1">
      <alignment horizontal="center" vertical="center" wrapText="1" shrinkToFit="1"/>
      <protection hidden="1"/>
    </xf>
    <xf numFmtId="0" fontId="4" fillId="0" borderId="88" xfId="0" applyFont="1" applyBorder="1" applyAlignment="1" applyProtection="1">
      <alignment horizontal="right" vertical="top" textRotation="255"/>
      <protection hidden="1"/>
    </xf>
    <xf numFmtId="0" fontId="4" fillId="0" borderId="70" xfId="0" applyFont="1" applyBorder="1" applyAlignment="1" applyProtection="1">
      <alignment horizontal="right" vertical="top" textRotation="255"/>
      <protection hidden="1"/>
    </xf>
    <xf numFmtId="38" fontId="6" fillId="0" borderId="61" xfId="2" applyFont="1" applyBorder="1" applyAlignment="1" applyProtection="1">
      <alignment horizontal="center" vertical="center" wrapText="1" shrinkToFit="1"/>
      <protection hidden="1"/>
    </xf>
    <xf numFmtId="38" fontId="6" fillId="0" borderId="67" xfId="2" applyFont="1" applyBorder="1" applyAlignment="1" applyProtection="1">
      <alignment horizontal="center" vertical="center" wrapText="1" shrinkToFit="1"/>
      <protection hidden="1"/>
    </xf>
    <xf numFmtId="0" fontId="4" fillId="0" borderId="41" xfId="0" applyFont="1" applyBorder="1" applyAlignment="1" applyProtection="1">
      <alignment horizontal="right" vertical="top" textRotation="255"/>
      <protection hidden="1"/>
    </xf>
    <xf numFmtId="38" fontId="7" fillId="0" borderId="74" xfId="2" applyFont="1" applyBorder="1" applyAlignment="1" applyProtection="1">
      <alignment horizontal="center" vertical="center" wrapText="1" shrinkToFit="1"/>
      <protection hidden="1"/>
    </xf>
    <xf numFmtId="38" fontId="7" fillId="0" borderId="14" xfId="2" applyFont="1" applyBorder="1" applyAlignment="1" applyProtection="1">
      <alignment horizontal="center" vertical="center" wrapText="1" shrinkToFit="1"/>
      <protection hidden="1"/>
    </xf>
    <xf numFmtId="0" fontId="23" fillId="0" borderId="53" xfId="0" applyFont="1" applyBorder="1" applyAlignment="1" applyProtection="1">
      <alignment horizontal="center" vertical="center" textRotation="255" wrapText="1" shrinkToFit="1"/>
      <protection hidden="1"/>
    </xf>
    <xf numFmtId="0" fontId="4" fillId="0" borderId="63" xfId="0" applyFont="1" applyBorder="1" applyAlignment="1" applyProtection="1">
      <alignment horizontal="center" vertical="center" wrapText="1" shrinkToFit="1"/>
      <protection hidden="1"/>
    </xf>
    <xf numFmtId="0" fontId="4" fillId="0" borderId="53" xfId="0" applyFont="1" applyBorder="1" applyAlignment="1" applyProtection="1">
      <alignment horizontal="center" vertical="center" wrapText="1" shrinkToFit="1"/>
      <protection hidden="1"/>
    </xf>
    <xf numFmtId="0" fontId="23" fillId="0" borderId="197" xfId="0" applyFont="1" applyBorder="1" applyAlignment="1" applyProtection="1">
      <alignment horizontal="center" vertical="center" wrapText="1" shrinkToFit="1"/>
      <protection hidden="1"/>
    </xf>
    <xf numFmtId="0" fontId="23" fillId="0" borderId="196" xfId="0" applyFont="1" applyBorder="1" applyAlignment="1" applyProtection="1">
      <alignment horizontal="center" vertical="center" wrapText="1" shrinkToFit="1"/>
      <protection hidden="1"/>
    </xf>
    <xf numFmtId="0" fontId="23" fillId="0" borderId="122" xfId="0" applyFont="1" applyBorder="1" applyAlignment="1" applyProtection="1">
      <alignment horizontal="center" vertical="center" wrapText="1" shrinkToFit="1"/>
      <protection hidden="1"/>
    </xf>
    <xf numFmtId="0" fontId="23" fillId="0" borderId="137" xfId="0" applyFont="1" applyBorder="1" applyAlignment="1" applyProtection="1">
      <alignment horizontal="center" vertical="center" wrapText="1" shrinkToFit="1"/>
      <protection hidden="1"/>
    </xf>
    <xf numFmtId="191" fontId="24" fillId="0" borderId="197" xfId="0" applyNumberFormat="1" applyFont="1" applyBorder="1" applyAlignment="1" applyProtection="1">
      <alignment horizontal="center" vertical="center"/>
      <protection hidden="1"/>
    </xf>
    <xf numFmtId="191" fontId="24" fillId="0" borderId="128" xfId="0" applyNumberFormat="1" applyFont="1" applyBorder="1" applyAlignment="1" applyProtection="1">
      <alignment horizontal="center" vertical="center"/>
      <protection hidden="1"/>
    </xf>
    <xf numFmtId="191" fontId="24" fillId="0" borderId="196" xfId="0" applyNumberFormat="1" applyFont="1" applyBorder="1" applyAlignment="1" applyProtection="1">
      <alignment horizontal="center" vertical="center"/>
      <protection hidden="1"/>
    </xf>
    <xf numFmtId="191" fontId="24" fillId="0" borderId="122" xfId="0" applyNumberFormat="1" applyFont="1" applyBorder="1" applyAlignment="1" applyProtection="1">
      <alignment horizontal="center" vertical="center"/>
      <protection hidden="1"/>
    </xf>
    <xf numFmtId="191" fontId="24" fillId="0" borderId="65" xfId="0" applyNumberFormat="1" applyFont="1" applyBorder="1" applyAlignment="1" applyProtection="1">
      <alignment horizontal="center" vertical="center"/>
      <protection hidden="1"/>
    </xf>
    <xf numFmtId="191" fontId="24" fillId="0" borderId="137" xfId="0" applyNumberFormat="1" applyFont="1" applyBorder="1" applyAlignment="1" applyProtection="1">
      <alignment horizontal="center" vertical="center"/>
      <protection hidden="1"/>
    </xf>
    <xf numFmtId="0" fontId="4" fillId="0" borderId="14" xfId="0" applyFont="1" applyBorder="1" applyAlignment="1">
      <alignment vertical="center" wrapText="1"/>
    </xf>
    <xf numFmtId="0" fontId="4" fillId="0" borderId="0" xfId="0" applyFont="1" applyAlignment="1">
      <alignment vertical="center" wrapText="1"/>
    </xf>
    <xf numFmtId="0" fontId="4" fillId="0" borderId="64" xfId="0" applyFont="1" applyBorder="1" applyAlignment="1">
      <alignment vertical="center" wrapText="1"/>
    </xf>
    <xf numFmtId="0" fontId="23" fillId="0" borderId="1" xfId="0" applyFont="1" applyBorder="1" applyAlignment="1" applyProtection="1">
      <alignment horizontal="center" vertical="center" textRotation="255" wrapText="1" shrinkToFit="1"/>
      <protection hidden="1"/>
    </xf>
    <xf numFmtId="0" fontId="4" fillId="0" borderId="1" xfId="0" applyFont="1" applyBorder="1" applyAlignment="1" applyProtection="1">
      <alignment horizontal="center" vertical="center" wrapText="1" shrinkToFit="1"/>
      <protection hidden="1"/>
    </xf>
    <xf numFmtId="0" fontId="4" fillId="0" borderId="173" xfId="0" applyFont="1" applyBorder="1" applyAlignment="1" applyProtection="1">
      <alignment horizontal="center" vertical="center" shrinkToFit="1"/>
      <protection hidden="1"/>
    </xf>
    <xf numFmtId="0" fontId="4" fillId="0" borderId="175" xfId="0" applyFont="1" applyBorder="1" applyAlignment="1" applyProtection="1">
      <alignment horizontal="center" vertical="center" shrinkToFit="1"/>
      <protection hidden="1"/>
    </xf>
    <xf numFmtId="0" fontId="42" fillId="0" borderId="32" xfId="0" applyFont="1" applyBorder="1" applyAlignment="1">
      <alignment horizontal="distributed" vertical="center" wrapText="1"/>
    </xf>
    <xf numFmtId="0" fontId="42" fillId="0" borderId="33" xfId="0" applyFont="1" applyBorder="1" applyAlignment="1">
      <alignment horizontal="distributed" vertical="center" wrapText="1"/>
    </xf>
    <xf numFmtId="0" fontId="42" fillId="0" borderId="50" xfId="0" applyFont="1" applyBorder="1" applyAlignment="1">
      <alignment horizontal="distributed" vertical="center" wrapText="1"/>
    </xf>
    <xf numFmtId="0" fontId="42" fillId="0" borderId="35" xfId="0" applyFont="1" applyBorder="1" applyAlignment="1">
      <alignment horizontal="distributed" vertical="center" wrapText="1"/>
    </xf>
    <xf numFmtId="0" fontId="6" fillId="0" borderId="53" xfId="0" applyFont="1" applyBorder="1" applyAlignment="1" applyProtection="1">
      <alignment horizontal="center" vertical="center" textRotation="255" shrinkToFit="1"/>
      <protection hidden="1"/>
    </xf>
    <xf numFmtId="0" fontId="6" fillId="0" borderId="53" xfId="0" applyFont="1" applyBorder="1" applyAlignment="1" applyProtection="1">
      <alignment horizontal="center" vertical="distributed" textRotation="255"/>
      <protection hidden="1"/>
    </xf>
    <xf numFmtId="0" fontId="6" fillId="0" borderId="53" xfId="0" applyFont="1" applyBorder="1" applyAlignment="1" applyProtection="1">
      <alignment vertical="distributed" textRotation="255" wrapText="1"/>
      <protection hidden="1"/>
    </xf>
    <xf numFmtId="0" fontId="6" fillId="0" borderId="53" xfId="0" applyFont="1" applyBorder="1" applyAlignment="1" applyProtection="1">
      <alignment horizontal="center" vertical="center" shrinkToFit="1"/>
      <protection hidden="1"/>
    </xf>
    <xf numFmtId="0" fontId="24" fillId="0" borderId="53" xfId="0" applyFont="1" applyBorder="1" applyAlignment="1" applyProtection="1">
      <alignment horizontal="center" vertical="center"/>
      <protection hidden="1"/>
    </xf>
    <xf numFmtId="0" fontId="6" fillId="0" borderId="53" xfId="0" applyFont="1" applyBorder="1" applyAlignment="1" applyProtection="1">
      <alignment horizontal="center" vertical="distributed" textRotation="255" wrapText="1"/>
      <protection hidden="1"/>
    </xf>
    <xf numFmtId="0" fontId="6" fillId="0" borderId="92" xfId="0" applyFont="1" applyBorder="1" applyAlignment="1" applyProtection="1">
      <alignment horizontal="distributed" vertical="distributed" wrapText="1"/>
      <protection hidden="1"/>
    </xf>
    <xf numFmtId="0" fontId="24" fillId="0" borderId="53" xfId="0" applyFont="1" applyBorder="1" applyAlignment="1">
      <alignment horizontal="center" vertical="center"/>
    </xf>
    <xf numFmtId="0" fontId="6" fillId="0" borderId="64" xfId="0" applyFont="1" applyBorder="1" applyAlignment="1" applyProtection="1">
      <alignment horizontal="center" vertical="top" textRotation="255" shrinkToFit="1"/>
      <protection hidden="1"/>
    </xf>
    <xf numFmtId="178" fontId="24" fillId="0" borderId="53" xfId="0" applyNumberFormat="1" applyFont="1" applyBorder="1" applyAlignment="1" applyProtection="1">
      <alignment horizontal="center" vertical="center"/>
      <protection hidden="1"/>
    </xf>
    <xf numFmtId="179" fontId="24" fillId="0" borderId="53" xfId="0" applyNumberFormat="1" applyFont="1" applyBorder="1" applyAlignment="1" applyProtection="1">
      <alignment horizontal="center" vertical="center"/>
      <protection hidden="1"/>
    </xf>
    <xf numFmtId="180" fontId="24" fillId="0" borderId="53" xfId="0" applyNumberFormat="1" applyFont="1" applyBorder="1" applyAlignment="1" applyProtection="1">
      <alignment horizontal="center" vertical="center"/>
      <protection hidden="1"/>
    </xf>
    <xf numFmtId="0" fontId="24" fillId="0" borderId="53" xfId="0" applyFont="1" applyBorder="1" applyAlignment="1" applyProtection="1">
      <alignment horizontal="center" vertical="center" shrinkToFit="1"/>
      <protection hidden="1"/>
    </xf>
    <xf numFmtId="38" fontId="24" fillId="0" borderId="53" xfId="2" applyFont="1" applyBorder="1" applyAlignment="1" applyProtection="1">
      <alignment horizontal="center" vertical="center" shrinkToFit="1"/>
      <protection hidden="1"/>
    </xf>
    <xf numFmtId="179" fontId="24" fillId="0" borderId="53" xfId="0" applyNumberFormat="1" applyFont="1" applyBorder="1" applyAlignment="1" applyProtection="1">
      <alignment horizontal="center" vertical="center" shrinkToFit="1"/>
      <protection hidden="1"/>
    </xf>
    <xf numFmtId="180" fontId="24" fillId="0" borderId="53" xfId="0" applyNumberFormat="1" applyFont="1" applyBorder="1" applyAlignment="1" applyProtection="1">
      <alignment horizontal="center" vertical="center" shrinkToFit="1"/>
      <protection hidden="1"/>
    </xf>
    <xf numFmtId="190" fontId="24" fillId="0" borderId="53" xfId="0" applyNumberFormat="1" applyFont="1" applyBorder="1" applyAlignment="1" applyProtection="1">
      <alignment horizontal="center" vertical="center" shrinkToFit="1"/>
      <protection hidden="1"/>
    </xf>
    <xf numFmtId="0" fontId="16" fillId="0" borderId="1" xfId="0" applyFont="1" applyBorder="1" applyAlignment="1" applyProtection="1">
      <alignment horizontal="center" vertical="center"/>
      <protection hidden="1"/>
    </xf>
    <xf numFmtId="0" fontId="23" fillId="0" borderId="1" xfId="0" applyFont="1" applyBorder="1" applyAlignment="1" applyProtection="1">
      <alignment horizontal="distributed" vertical="center" wrapText="1"/>
      <protection hidden="1"/>
    </xf>
    <xf numFmtId="0" fontId="22" fillId="0" borderId="3" xfId="0" applyFont="1" applyBorder="1" applyAlignment="1" applyProtection="1">
      <alignment horizontal="left" vertical="center" indent="1"/>
      <protection hidden="1"/>
    </xf>
    <xf numFmtId="0" fontId="7" fillId="0" borderId="1" xfId="0" applyFont="1" applyBorder="1" applyAlignment="1" applyProtection="1">
      <alignment horizontal="distributed" vertical="center" wrapText="1"/>
      <protection hidden="1"/>
    </xf>
    <xf numFmtId="0" fontId="22" fillId="0" borderId="43" xfId="0" applyFont="1" applyBorder="1" applyAlignment="1" applyProtection="1">
      <alignment horizontal="left" vertical="center" indent="1"/>
      <protection hidden="1"/>
    </xf>
    <xf numFmtId="0" fontId="16" fillId="0" borderId="1" xfId="0" applyFont="1" applyBorder="1" applyAlignment="1">
      <alignment horizontal="distributed" vertical="center"/>
    </xf>
    <xf numFmtId="0" fontId="16" fillId="0" borderId="36" xfId="0" applyFont="1" applyBorder="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0" borderId="99" xfId="0" applyFont="1" applyBorder="1" applyAlignment="1" applyProtection="1">
      <alignment horizontal="center" vertical="center"/>
      <protection hidden="1"/>
    </xf>
    <xf numFmtId="0" fontId="16" fillId="0" borderId="100" xfId="0" applyFont="1" applyBorder="1" applyAlignment="1" applyProtection="1">
      <alignment horizontal="center" vertical="center"/>
      <protection hidden="1"/>
    </xf>
    <xf numFmtId="0" fontId="6" fillId="0" borderId="12" xfId="0" applyFont="1" applyBorder="1" applyAlignment="1" applyProtection="1">
      <alignment horizontal="center" vertical="distributed" textRotation="255" justifyLastLine="1"/>
      <protection hidden="1"/>
    </xf>
    <xf numFmtId="0" fontId="6" fillId="0" borderId="22" xfId="0" applyFont="1" applyBorder="1" applyAlignment="1" applyProtection="1">
      <alignment horizontal="center" vertical="distributed" textRotation="255" justifyLastLine="1"/>
      <protection hidden="1"/>
    </xf>
    <xf numFmtId="0" fontId="6" fillId="0" borderId="21" xfId="0" applyFont="1" applyBorder="1" applyAlignment="1" applyProtection="1">
      <alignment horizontal="center" vertical="distributed" textRotation="255" justifyLastLine="1"/>
      <protection hidden="1"/>
    </xf>
    <xf numFmtId="0" fontId="23" fillId="0" borderId="1" xfId="0" applyFont="1" applyBorder="1" applyAlignment="1" applyProtection="1">
      <alignment horizontal="distributed" vertical="center"/>
      <protection hidden="1"/>
    </xf>
    <xf numFmtId="0" fontId="16" fillId="0" borderId="101" xfId="0" applyFont="1" applyBorder="1" applyAlignment="1">
      <alignment horizontal="distributed" vertical="center"/>
    </xf>
    <xf numFmtId="0" fontId="16" fillId="0" borderId="102" xfId="0" applyFont="1" applyBorder="1" applyAlignment="1" applyProtection="1">
      <alignment horizontal="center" vertical="center"/>
      <protection hidden="1"/>
    </xf>
  </cellXfs>
  <cellStyles count="5">
    <cellStyle name="パーセント" xfId="1" builtinId="5"/>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6600"/>
      <color rgb="FF007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18</xdr:col>
      <xdr:colOff>121920</xdr:colOff>
      <xdr:row>5</xdr:row>
      <xdr:rowOff>22858</xdr:rowOff>
    </xdr:from>
    <xdr:to>
      <xdr:col>18</xdr:col>
      <xdr:colOff>137160</xdr:colOff>
      <xdr:row>55</xdr:row>
      <xdr:rowOff>76199</xdr:rowOff>
    </xdr:to>
    <xdr:sp macro="" textlink="">
      <xdr:nvSpPr>
        <xdr:cNvPr id="2" name="Line 7">
          <a:extLst>
            <a:ext uri="{FF2B5EF4-FFF2-40B4-BE49-F238E27FC236}">
              <a16:creationId xmlns:a16="http://schemas.microsoft.com/office/drawing/2014/main" id="{8678C05D-8AEB-4EE6-88CA-8FC6B765C116}"/>
            </a:ext>
          </a:extLst>
        </xdr:cNvPr>
        <xdr:cNvSpPr>
          <a:spLocks noChangeShapeType="1"/>
        </xdr:cNvSpPr>
      </xdr:nvSpPr>
      <xdr:spPr bwMode="auto">
        <a:xfrm>
          <a:off x="9326880" y="822958"/>
          <a:ext cx="15240" cy="8100061"/>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250372</xdr:colOff>
      <xdr:row>26</xdr:row>
      <xdr:rowOff>87086</xdr:rowOff>
    </xdr:from>
    <xdr:to>
      <xdr:col>18</xdr:col>
      <xdr:colOff>166551</xdr:colOff>
      <xdr:row>26</xdr:row>
      <xdr:rowOff>87086</xdr:rowOff>
    </xdr:to>
    <xdr:sp macro="" textlink="">
      <xdr:nvSpPr>
        <xdr:cNvPr id="3" name="Line 8">
          <a:extLst>
            <a:ext uri="{FF2B5EF4-FFF2-40B4-BE49-F238E27FC236}">
              <a16:creationId xmlns:a16="http://schemas.microsoft.com/office/drawing/2014/main" id="{B02BA731-9D33-437E-85A8-3C245CD47847}"/>
            </a:ext>
          </a:extLst>
        </xdr:cNvPr>
        <xdr:cNvSpPr>
          <a:spLocks noChangeShapeType="1"/>
        </xdr:cNvSpPr>
      </xdr:nvSpPr>
      <xdr:spPr bwMode="auto">
        <a:xfrm flipH="1">
          <a:off x="2446837" y="4346666"/>
          <a:ext cx="6486524"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295835</xdr:colOff>
      <xdr:row>45</xdr:row>
      <xdr:rowOff>125505</xdr:rowOff>
    </xdr:from>
    <xdr:to>
      <xdr:col>9</xdr:col>
      <xdr:colOff>298174</xdr:colOff>
      <xdr:row>55</xdr:row>
      <xdr:rowOff>13251</xdr:rowOff>
    </xdr:to>
    <xdr:sp macro="" textlink="">
      <xdr:nvSpPr>
        <xdr:cNvPr id="4" name="Line 9">
          <a:extLst>
            <a:ext uri="{FF2B5EF4-FFF2-40B4-BE49-F238E27FC236}">
              <a16:creationId xmlns:a16="http://schemas.microsoft.com/office/drawing/2014/main" id="{BD632DB3-886E-4E02-83C4-0A4C90943729}"/>
            </a:ext>
          </a:extLst>
        </xdr:cNvPr>
        <xdr:cNvSpPr>
          <a:spLocks noChangeShapeType="1"/>
        </xdr:cNvSpPr>
      </xdr:nvSpPr>
      <xdr:spPr bwMode="auto">
        <a:xfrm>
          <a:off x="4679576" y="7431740"/>
          <a:ext cx="2339" cy="1501393"/>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235858</xdr:colOff>
      <xdr:row>26</xdr:row>
      <xdr:rowOff>94344</xdr:rowOff>
    </xdr:from>
    <xdr:to>
      <xdr:col>5</xdr:col>
      <xdr:colOff>242047</xdr:colOff>
      <xdr:row>45</xdr:row>
      <xdr:rowOff>80683</xdr:rowOff>
    </xdr:to>
    <xdr:sp macro="" textlink="">
      <xdr:nvSpPr>
        <xdr:cNvPr id="5" name="Line 9">
          <a:extLst>
            <a:ext uri="{FF2B5EF4-FFF2-40B4-BE49-F238E27FC236}">
              <a16:creationId xmlns:a16="http://schemas.microsoft.com/office/drawing/2014/main" id="{E4D86750-6765-4BA9-B4F7-97A91D9499CD}"/>
            </a:ext>
          </a:extLst>
        </xdr:cNvPr>
        <xdr:cNvSpPr>
          <a:spLocks noChangeShapeType="1"/>
        </xdr:cNvSpPr>
      </xdr:nvSpPr>
      <xdr:spPr bwMode="auto">
        <a:xfrm>
          <a:off x="2512893" y="4334650"/>
          <a:ext cx="6189" cy="305226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234252</xdr:colOff>
      <xdr:row>45</xdr:row>
      <xdr:rowOff>42506</xdr:rowOff>
    </xdr:from>
    <xdr:to>
      <xdr:col>18</xdr:col>
      <xdr:colOff>104476</xdr:colOff>
      <xdr:row>45</xdr:row>
      <xdr:rowOff>67040</xdr:rowOff>
    </xdr:to>
    <xdr:sp macro="" textlink="">
      <xdr:nvSpPr>
        <xdr:cNvPr id="6" name="Line 8">
          <a:extLst>
            <a:ext uri="{FF2B5EF4-FFF2-40B4-BE49-F238E27FC236}">
              <a16:creationId xmlns:a16="http://schemas.microsoft.com/office/drawing/2014/main" id="{C4E099F4-B669-4419-8C85-7097C062A12A}"/>
            </a:ext>
          </a:extLst>
        </xdr:cNvPr>
        <xdr:cNvSpPr>
          <a:spLocks noChangeShapeType="1"/>
        </xdr:cNvSpPr>
      </xdr:nvSpPr>
      <xdr:spPr bwMode="auto">
        <a:xfrm flipH="1">
          <a:off x="2511287" y="7348741"/>
          <a:ext cx="6414460" cy="24534"/>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121920</xdr:colOff>
      <xdr:row>26</xdr:row>
      <xdr:rowOff>157480</xdr:rowOff>
    </xdr:from>
    <xdr:to>
      <xdr:col>17</xdr:col>
      <xdr:colOff>358140</xdr:colOff>
      <xdr:row>28</xdr:row>
      <xdr:rowOff>60960</xdr:rowOff>
    </xdr:to>
    <xdr:sp macro="" textlink="">
      <xdr:nvSpPr>
        <xdr:cNvPr id="8" name="四角形: 角を丸くする 7">
          <a:extLst>
            <a:ext uri="{FF2B5EF4-FFF2-40B4-BE49-F238E27FC236}">
              <a16:creationId xmlns:a16="http://schemas.microsoft.com/office/drawing/2014/main" id="{950554C8-9F0B-4067-9A22-7954ED549685}"/>
            </a:ext>
          </a:extLst>
        </xdr:cNvPr>
        <xdr:cNvSpPr/>
      </xdr:nvSpPr>
      <xdr:spPr bwMode="auto">
        <a:xfrm>
          <a:off x="8199120" y="4363720"/>
          <a:ext cx="990600" cy="223520"/>
        </a:xfrm>
        <a:prstGeom prst="roundRect">
          <a:avLst>
            <a:gd name="adj" fmla="val 38722"/>
          </a:avLst>
        </a:prstGeom>
        <a:noFill/>
        <a:ln w="12700">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lIns="36000" tIns="36000" rIns="36000" bIns="36000" rtlCol="0" anchor="ctr" anchorCtr="1"/>
        <a:lstStyle/>
        <a:p>
          <a:pPr algn="ctr"/>
          <a:r>
            <a:rPr kumimoji="1" lang="ja-JP" altLang="en-US" sz="900">
              <a:solidFill>
                <a:srgbClr val="0000FF"/>
              </a:solidFill>
              <a:latin typeface="MS UI Gothic" panose="020B0600070205080204" pitchFamily="50" charset="-128"/>
              <a:ea typeface="MS UI Gothic" panose="020B0600070205080204" pitchFamily="50" charset="-128"/>
            </a:rPr>
            <a:t>基・配・特・所</a:t>
          </a:r>
        </a:p>
      </xdr:txBody>
    </xdr:sp>
    <xdr:clientData/>
  </xdr:twoCellAnchor>
  <xdr:twoCellAnchor>
    <xdr:from>
      <xdr:col>17</xdr:col>
      <xdr:colOff>64994</xdr:colOff>
      <xdr:row>7</xdr:row>
      <xdr:rowOff>22860</xdr:rowOff>
    </xdr:from>
    <xdr:to>
      <xdr:col>17</xdr:col>
      <xdr:colOff>328200</xdr:colOff>
      <xdr:row>8</xdr:row>
      <xdr:rowOff>86958</xdr:rowOff>
    </xdr:to>
    <xdr:sp macro="" textlink="">
      <xdr:nvSpPr>
        <xdr:cNvPr id="9" name="四角形: 角を丸くする 8">
          <a:extLst>
            <a:ext uri="{FF2B5EF4-FFF2-40B4-BE49-F238E27FC236}">
              <a16:creationId xmlns:a16="http://schemas.microsoft.com/office/drawing/2014/main" id="{3EDBCFC2-2211-49D7-874E-320881D1CB10}"/>
            </a:ext>
          </a:extLst>
        </xdr:cNvPr>
        <xdr:cNvSpPr/>
      </xdr:nvSpPr>
      <xdr:spPr bwMode="auto">
        <a:xfrm>
          <a:off x="8896574" y="1188720"/>
          <a:ext cx="263206" cy="224118"/>
        </a:xfrm>
        <a:prstGeom prst="roundRect">
          <a:avLst>
            <a:gd name="adj" fmla="val 50000"/>
          </a:avLst>
        </a:prstGeom>
        <a:noFill/>
        <a:ln w="12700">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lIns="36000" tIns="36000" rIns="36000" bIns="36000" rtlCol="0" anchor="ctr" anchorCtr="1"/>
        <a:lstStyle/>
        <a:p>
          <a:pPr algn="l"/>
          <a:r>
            <a:rPr kumimoji="1" lang="ja-JP" altLang="en-US" sz="900">
              <a:solidFill>
                <a:srgbClr val="0000FF"/>
              </a:solidFill>
              <a:latin typeface="MS UI Gothic" panose="020B0600070205080204" pitchFamily="50" charset="-128"/>
              <a:ea typeface="MS UI Gothic" panose="020B0600070205080204" pitchFamily="50" charset="-128"/>
            </a:rPr>
            <a:t>扶</a:t>
          </a:r>
        </a:p>
      </xdr:txBody>
    </xdr:sp>
    <xdr:clientData/>
  </xdr:twoCellAnchor>
  <xdr:twoCellAnchor>
    <xdr:from>
      <xdr:col>17</xdr:col>
      <xdr:colOff>47065</xdr:colOff>
      <xdr:row>45</xdr:row>
      <xdr:rowOff>118783</xdr:rowOff>
    </xdr:from>
    <xdr:to>
      <xdr:col>17</xdr:col>
      <xdr:colOff>320580</xdr:colOff>
      <xdr:row>47</xdr:row>
      <xdr:rowOff>19980</xdr:rowOff>
    </xdr:to>
    <xdr:sp macro="" textlink="">
      <xdr:nvSpPr>
        <xdr:cNvPr id="10" name="四角形: 角を丸くする 9">
          <a:extLst>
            <a:ext uri="{FF2B5EF4-FFF2-40B4-BE49-F238E27FC236}">
              <a16:creationId xmlns:a16="http://schemas.microsoft.com/office/drawing/2014/main" id="{71C8A4CF-B4BC-4A31-822C-B02E164F166D}"/>
            </a:ext>
          </a:extLst>
        </xdr:cNvPr>
        <xdr:cNvSpPr/>
      </xdr:nvSpPr>
      <xdr:spPr bwMode="auto">
        <a:xfrm>
          <a:off x="8878645" y="7365403"/>
          <a:ext cx="273515" cy="221237"/>
        </a:xfrm>
        <a:prstGeom prst="roundRect">
          <a:avLst>
            <a:gd name="adj" fmla="val 50000"/>
          </a:avLst>
        </a:prstGeom>
        <a:noFill/>
        <a:ln w="12700">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lIns="36000" tIns="36000" rIns="36000" bIns="36000" rtlCol="0" anchor="ctr" anchorCtr="1"/>
        <a:lstStyle/>
        <a:p>
          <a:pPr algn="l"/>
          <a:r>
            <a:rPr kumimoji="1" lang="ja-JP" altLang="en-US" sz="900">
              <a:solidFill>
                <a:srgbClr val="0000FF"/>
              </a:solidFill>
              <a:latin typeface="MS UI Gothic" panose="020B0600070205080204" pitchFamily="50" charset="-128"/>
              <a:ea typeface="MS UI Gothic" panose="020B0600070205080204" pitchFamily="50" charset="-128"/>
            </a:rPr>
            <a:t>保</a:t>
          </a:r>
        </a:p>
      </xdr:txBody>
    </xdr:sp>
    <xdr:clientData/>
  </xdr:twoCellAnchor>
  <xdr:twoCellAnchor>
    <xdr:from>
      <xdr:col>12</xdr:col>
      <xdr:colOff>581024</xdr:colOff>
      <xdr:row>37</xdr:row>
      <xdr:rowOff>18141</xdr:rowOff>
    </xdr:from>
    <xdr:to>
      <xdr:col>12</xdr:col>
      <xdr:colOff>683893</xdr:colOff>
      <xdr:row>39</xdr:row>
      <xdr:rowOff>122916</xdr:rowOff>
    </xdr:to>
    <xdr:sp macro="" textlink="">
      <xdr:nvSpPr>
        <xdr:cNvPr id="11" name="左中かっこ 10">
          <a:extLst>
            <a:ext uri="{FF2B5EF4-FFF2-40B4-BE49-F238E27FC236}">
              <a16:creationId xmlns:a16="http://schemas.microsoft.com/office/drawing/2014/main" id="{BDC38773-82A0-466F-9129-C96C32F350FB}"/>
            </a:ext>
          </a:extLst>
        </xdr:cNvPr>
        <xdr:cNvSpPr/>
      </xdr:nvSpPr>
      <xdr:spPr bwMode="auto">
        <a:xfrm>
          <a:off x="6458363" y="5789463"/>
          <a:ext cx="102869" cy="422827"/>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44</xdr:col>
      <xdr:colOff>545</xdr:colOff>
      <xdr:row>5</xdr:row>
      <xdr:rowOff>9253</xdr:rowOff>
    </xdr:to>
    <xdr:grpSp>
      <xdr:nvGrpSpPr>
        <xdr:cNvPr id="2" name="グループ化 1">
          <a:extLst>
            <a:ext uri="{FF2B5EF4-FFF2-40B4-BE49-F238E27FC236}">
              <a16:creationId xmlns:a16="http://schemas.microsoft.com/office/drawing/2014/main" id="{FE3BCD7A-6BE2-47B0-9EF0-B243E9DB2877}"/>
            </a:ext>
          </a:extLst>
        </xdr:cNvPr>
        <xdr:cNvGrpSpPr>
          <a:grpSpLocks/>
        </xdr:cNvGrpSpPr>
      </xdr:nvGrpSpPr>
      <xdr:grpSpPr bwMode="auto">
        <a:xfrm>
          <a:off x="680357" y="816429"/>
          <a:ext cx="5307331" cy="431074"/>
          <a:chOff x="894080" y="9870440"/>
          <a:chExt cx="5892800" cy="421640"/>
        </a:xfrm>
        <a:solidFill>
          <a:schemeClr val="bg1"/>
        </a:solidFill>
      </xdr:grpSpPr>
      <xdr:grpSp>
        <xdr:nvGrpSpPr>
          <xdr:cNvPr id="3" name="グループ化 131">
            <a:extLst>
              <a:ext uri="{FF2B5EF4-FFF2-40B4-BE49-F238E27FC236}">
                <a16:creationId xmlns:a16="http://schemas.microsoft.com/office/drawing/2014/main" id="{5A4C7CE4-68DB-4A6B-83F6-848BE5C64523}"/>
              </a:ext>
            </a:extLst>
          </xdr:cNvPr>
          <xdr:cNvGrpSpPr>
            <a:grpSpLocks/>
          </xdr:cNvGrpSpPr>
        </xdr:nvGrpSpPr>
        <xdr:grpSpPr bwMode="auto">
          <a:xfrm>
            <a:off x="894080" y="9870440"/>
            <a:ext cx="5892800" cy="419100"/>
            <a:chOff x="1029651" y="501966"/>
            <a:chExt cx="5895975" cy="419100"/>
          </a:xfrm>
          <a:grpFill/>
        </xdr:grpSpPr>
        <xdr:grpSp>
          <xdr:nvGrpSpPr>
            <xdr:cNvPr id="12" name="グループ化 140">
              <a:extLst>
                <a:ext uri="{FF2B5EF4-FFF2-40B4-BE49-F238E27FC236}">
                  <a16:creationId xmlns:a16="http://schemas.microsoft.com/office/drawing/2014/main" id="{A007F0E4-149A-425A-A719-8CE0593448F2}"/>
                </a:ext>
              </a:extLst>
            </xdr:cNvPr>
            <xdr:cNvGrpSpPr>
              <a:grpSpLocks/>
            </xdr:cNvGrpSpPr>
          </xdr:nvGrpSpPr>
          <xdr:grpSpPr bwMode="auto">
            <a:xfrm>
              <a:off x="1029651" y="501966"/>
              <a:ext cx="2769694" cy="419100"/>
              <a:chOff x="1028700" y="504824"/>
              <a:chExt cx="2499360" cy="421005"/>
            </a:xfrm>
            <a:grpFill/>
          </xdr:grpSpPr>
          <xdr:sp macro="" textlink="">
            <xdr:nvSpPr>
              <xdr:cNvPr id="23" name="正方形/長方形 151">
                <a:extLst>
                  <a:ext uri="{FF2B5EF4-FFF2-40B4-BE49-F238E27FC236}">
                    <a16:creationId xmlns:a16="http://schemas.microsoft.com/office/drawing/2014/main" id="{79432742-C5F2-4756-B9BB-A6ABABDF2FA1}"/>
                  </a:ext>
                </a:extLst>
              </xdr:cNvPr>
              <xdr:cNvSpPr>
                <a:spLocks noChangeArrowheads="1"/>
              </xdr:cNvSpPr>
            </xdr:nvSpPr>
            <xdr:spPr bwMode="auto">
              <a:xfrm>
                <a:off x="1028700" y="504824"/>
                <a:ext cx="312420" cy="421005"/>
              </a:xfrm>
              <a:prstGeom prst="rect">
                <a:avLst/>
              </a:prstGeom>
              <a:grpFill/>
              <a:ln w="6350" algn="ctr">
                <a:solidFill>
                  <a:schemeClr val="tx1"/>
                </a:solidFill>
                <a:round/>
                <a:headEnd/>
                <a:tailEnd/>
              </a:ln>
            </xdr:spPr>
          </xdr:sp>
          <xdr:sp macro="" textlink="">
            <xdr:nvSpPr>
              <xdr:cNvPr id="24" name="正方形/長方形 152">
                <a:extLst>
                  <a:ext uri="{FF2B5EF4-FFF2-40B4-BE49-F238E27FC236}">
                    <a16:creationId xmlns:a16="http://schemas.microsoft.com/office/drawing/2014/main" id="{94B0B53C-0F13-4095-AD28-C2D0A6EE7B2F}"/>
                  </a:ext>
                </a:extLst>
              </xdr:cNvPr>
              <xdr:cNvSpPr>
                <a:spLocks noChangeArrowheads="1"/>
              </xdr:cNvSpPr>
            </xdr:nvSpPr>
            <xdr:spPr bwMode="auto">
              <a:xfrm>
                <a:off x="1341120" y="504824"/>
                <a:ext cx="312420" cy="421005"/>
              </a:xfrm>
              <a:prstGeom prst="rect">
                <a:avLst/>
              </a:prstGeom>
              <a:grpFill/>
              <a:ln w="6350" algn="ctr">
                <a:solidFill>
                  <a:schemeClr val="tx1"/>
                </a:solidFill>
                <a:round/>
                <a:headEnd/>
                <a:tailEnd/>
              </a:ln>
            </xdr:spPr>
          </xdr:sp>
          <xdr:sp macro="" textlink="">
            <xdr:nvSpPr>
              <xdr:cNvPr id="25" name="正方形/長方形 153">
                <a:extLst>
                  <a:ext uri="{FF2B5EF4-FFF2-40B4-BE49-F238E27FC236}">
                    <a16:creationId xmlns:a16="http://schemas.microsoft.com/office/drawing/2014/main" id="{D6797D2F-F868-474F-A7CD-F83E0025F57D}"/>
                  </a:ext>
                </a:extLst>
              </xdr:cNvPr>
              <xdr:cNvSpPr>
                <a:spLocks noChangeArrowheads="1"/>
              </xdr:cNvSpPr>
            </xdr:nvSpPr>
            <xdr:spPr bwMode="auto">
              <a:xfrm>
                <a:off x="1653540" y="504824"/>
                <a:ext cx="312420" cy="421005"/>
              </a:xfrm>
              <a:prstGeom prst="rect">
                <a:avLst/>
              </a:prstGeom>
              <a:grpFill/>
              <a:ln w="6350" algn="ctr">
                <a:solidFill>
                  <a:schemeClr val="tx1"/>
                </a:solidFill>
                <a:round/>
                <a:headEnd/>
                <a:tailEnd/>
              </a:ln>
            </xdr:spPr>
          </xdr:sp>
          <xdr:sp macro="" textlink="">
            <xdr:nvSpPr>
              <xdr:cNvPr id="26" name="正方形/長方形 154">
                <a:extLst>
                  <a:ext uri="{FF2B5EF4-FFF2-40B4-BE49-F238E27FC236}">
                    <a16:creationId xmlns:a16="http://schemas.microsoft.com/office/drawing/2014/main" id="{011F0F4C-59FA-4698-8F4D-9D3C780651CA}"/>
                  </a:ext>
                </a:extLst>
              </xdr:cNvPr>
              <xdr:cNvSpPr>
                <a:spLocks noChangeArrowheads="1"/>
              </xdr:cNvSpPr>
            </xdr:nvSpPr>
            <xdr:spPr bwMode="auto">
              <a:xfrm>
                <a:off x="1965960" y="504824"/>
                <a:ext cx="312420" cy="421005"/>
              </a:xfrm>
              <a:prstGeom prst="rect">
                <a:avLst/>
              </a:prstGeom>
              <a:grpFill/>
              <a:ln w="6350" algn="ctr">
                <a:solidFill>
                  <a:schemeClr val="tx1"/>
                </a:solidFill>
                <a:round/>
                <a:headEnd/>
                <a:tailEnd/>
              </a:ln>
            </xdr:spPr>
          </xdr:sp>
          <xdr:sp macro="" textlink="">
            <xdr:nvSpPr>
              <xdr:cNvPr id="27" name="正方形/長方形 155">
                <a:extLst>
                  <a:ext uri="{FF2B5EF4-FFF2-40B4-BE49-F238E27FC236}">
                    <a16:creationId xmlns:a16="http://schemas.microsoft.com/office/drawing/2014/main" id="{8F27AC9E-0318-42A2-8B14-2558A61B1F50}"/>
                  </a:ext>
                </a:extLst>
              </xdr:cNvPr>
              <xdr:cNvSpPr>
                <a:spLocks noChangeArrowheads="1"/>
              </xdr:cNvSpPr>
            </xdr:nvSpPr>
            <xdr:spPr bwMode="auto">
              <a:xfrm>
                <a:off x="2278380" y="504824"/>
                <a:ext cx="312420" cy="421005"/>
              </a:xfrm>
              <a:prstGeom prst="rect">
                <a:avLst/>
              </a:prstGeom>
              <a:grpFill/>
              <a:ln w="6350" algn="ctr">
                <a:solidFill>
                  <a:schemeClr val="tx1"/>
                </a:solidFill>
                <a:round/>
                <a:headEnd/>
                <a:tailEnd/>
              </a:ln>
            </xdr:spPr>
          </xdr:sp>
          <xdr:sp macro="" textlink="">
            <xdr:nvSpPr>
              <xdr:cNvPr id="28" name="正方形/長方形 156">
                <a:extLst>
                  <a:ext uri="{FF2B5EF4-FFF2-40B4-BE49-F238E27FC236}">
                    <a16:creationId xmlns:a16="http://schemas.microsoft.com/office/drawing/2014/main" id="{946AF3D6-94C9-4D29-A093-7AA46358E7BE}"/>
                  </a:ext>
                </a:extLst>
              </xdr:cNvPr>
              <xdr:cNvSpPr>
                <a:spLocks noChangeArrowheads="1"/>
              </xdr:cNvSpPr>
            </xdr:nvSpPr>
            <xdr:spPr bwMode="auto">
              <a:xfrm>
                <a:off x="2590800" y="504824"/>
                <a:ext cx="312420" cy="421005"/>
              </a:xfrm>
              <a:prstGeom prst="rect">
                <a:avLst/>
              </a:prstGeom>
              <a:grpFill/>
              <a:ln w="6350" algn="ctr">
                <a:solidFill>
                  <a:schemeClr val="tx1"/>
                </a:solidFill>
                <a:round/>
                <a:headEnd/>
                <a:tailEnd/>
              </a:ln>
            </xdr:spPr>
          </xdr:sp>
          <xdr:sp macro="" textlink="">
            <xdr:nvSpPr>
              <xdr:cNvPr id="29" name="正方形/長方形 157">
                <a:extLst>
                  <a:ext uri="{FF2B5EF4-FFF2-40B4-BE49-F238E27FC236}">
                    <a16:creationId xmlns:a16="http://schemas.microsoft.com/office/drawing/2014/main" id="{A4F9668E-D23C-452B-8DBB-6B0807FCB6CD}"/>
                  </a:ext>
                </a:extLst>
              </xdr:cNvPr>
              <xdr:cNvSpPr>
                <a:spLocks noChangeArrowheads="1"/>
              </xdr:cNvSpPr>
            </xdr:nvSpPr>
            <xdr:spPr bwMode="auto">
              <a:xfrm>
                <a:off x="2903220" y="504824"/>
                <a:ext cx="312420" cy="421005"/>
              </a:xfrm>
              <a:prstGeom prst="rect">
                <a:avLst/>
              </a:prstGeom>
              <a:grpFill/>
              <a:ln w="6350" algn="ctr">
                <a:solidFill>
                  <a:schemeClr val="tx1"/>
                </a:solidFill>
                <a:round/>
                <a:headEnd/>
                <a:tailEnd/>
              </a:ln>
            </xdr:spPr>
          </xdr:sp>
          <xdr:sp macro="" textlink="">
            <xdr:nvSpPr>
              <xdr:cNvPr id="30" name="正方形/長方形 158">
                <a:extLst>
                  <a:ext uri="{FF2B5EF4-FFF2-40B4-BE49-F238E27FC236}">
                    <a16:creationId xmlns:a16="http://schemas.microsoft.com/office/drawing/2014/main" id="{12DC20ED-88A9-42E6-85A8-3F628702D1C4}"/>
                  </a:ext>
                </a:extLst>
              </xdr:cNvPr>
              <xdr:cNvSpPr>
                <a:spLocks noChangeArrowheads="1"/>
              </xdr:cNvSpPr>
            </xdr:nvSpPr>
            <xdr:spPr bwMode="auto">
              <a:xfrm>
                <a:off x="3215640" y="504824"/>
                <a:ext cx="312420" cy="421005"/>
              </a:xfrm>
              <a:prstGeom prst="rect">
                <a:avLst/>
              </a:prstGeom>
              <a:grpFill/>
              <a:ln w="6350" algn="ctr">
                <a:solidFill>
                  <a:schemeClr val="tx1"/>
                </a:solidFill>
                <a:round/>
                <a:headEnd/>
                <a:tailEnd/>
              </a:ln>
            </xdr:spPr>
          </xdr:sp>
        </xdr:grpSp>
        <xdr:grpSp>
          <xdr:nvGrpSpPr>
            <xdr:cNvPr id="13" name="グループ化 141">
              <a:extLst>
                <a:ext uri="{FF2B5EF4-FFF2-40B4-BE49-F238E27FC236}">
                  <a16:creationId xmlns:a16="http://schemas.microsoft.com/office/drawing/2014/main" id="{183A42E5-C462-4FD9-8240-A8B29573EF34}"/>
                </a:ext>
              </a:extLst>
            </xdr:cNvPr>
            <xdr:cNvGrpSpPr>
              <a:grpSpLocks/>
            </xdr:cNvGrpSpPr>
          </xdr:nvGrpSpPr>
          <xdr:grpSpPr bwMode="auto">
            <a:xfrm>
              <a:off x="3799345" y="501966"/>
              <a:ext cx="2781252" cy="419100"/>
              <a:chOff x="1028700" y="504824"/>
              <a:chExt cx="2499360" cy="421005"/>
            </a:xfrm>
            <a:grpFill/>
          </xdr:grpSpPr>
          <xdr:sp macro="" textlink="">
            <xdr:nvSpPr>
              <xdr:cNvPr id="15" name="正方形/長方形 143">
                <a:extLst>
                  <a:ext uri="{FF2B5EF4-FFF2-40B4-BE49-F238E27FC236}">
                    <a16:creationId xmlns:a16="http://schemas.microsoft.com/office/drawing/2014/main" id="{60E5FCE3-49FC-49D6-A160-E5E497671849}"/>
                  </a:ext>
                </a:extLst>
              </xdr:cNvPr>
              <xdr:cNvSpPr>
                <a:spLocks noChangeArrowheads="1"/>
              </xdr:cNvSpPr>
            </xdr:nvSpPr>
            <xdr:spPr bwMode="auto">
              <a:xfrm>
                <a:off x="1028700" y="504824"/>
                <a:ext cx="312420" cy="421005"/>
              </a:xfrm>
              <a:prstGeom prst="rect">
                <a:avLst/>
              </a:prstGeom>
              <a:grpFill/>
              <a:ln w="6350" algn="ctr">
                <a:solidFill>
                  <a:schemeClr val="tx1"/>
                </a:solidFill>
                <a:round/>
                <a:headEnd/>
                <a:tailEnd/>
              </a:ln>
            </xdr:spPr>
          </xdr:sp>
          <xdr:sp macro="" textlink="">
            <xdr:nvSpPr>
              <xdr:cNvPr id="16" name="正方形/長方形 144">
                <a:extLst>
                  <a:ext uri="{FF2B5EF4-FFF2-40B4-BE49-F238E27FC236}">
                    <a16:creationId xmlns:a16="http://schemas.microsoft.com/office/drawing/2014/main" id="{D6022C7D-D8EB-4CFE-A8B2-F2BE04B60BE2}"/>
                  </a:ext>
                </a:extLst>
              </xdr:cNvPr>
              <xdr:cNvSpPr>
                <a:spLocks noChangeArrowheads="1"/>
              </xdr:cNvSpPr>
            </xdr:nvSpPr>
            <xdr:spPr bwMode="auto">
              <a:xfrm>
                <a:off x="1341120" y="504824"/>
                <a:ext cx="312420" cy="421005"/>
              </a:xfrm>
              <a:prstGeom prst="rect">
                <a:avLst/>
              </a:prstGeom>
              <a:grpFill/>
              <a:ln w="6350" algn="ctr">
                <a:solidFill>
                  <a:schemeClr val="tx1"/>
                </a:solidFill>
                <a:round/>
                <a:headEnd/>
                <a:tailEnd/>
              </a:ln>
            </xdr:spPr>
          </xdr:sp>
          <xdr:sp macro="" textlink="">
            <xdr:nvSpPr>
              <xdr:cNvPr id="17" name="正方形/長方形 145">
                <a:extLst>
                  <a:ext uri="{FF2B5EF4-FFF2-40B4-BE49-F238E27FC236}">
                    <a16:creationId xmlns:a16="http://schemas.microsoft.com/office/drawing/2014/main" id="{21B0C390-7F4A-45F8-A700-B095CAA1B0CD}"/>
                  </a:ext>
                </a:extLst>
              </xdr:cNvPr>
              <xdr:cNvSpPr>
                <a:spLocks noChangeArrowheads="1"/>
              </xdr:cNvSpPr>
            </xdr:nvSpPr>
            <xdr:spPr bwMode="auto">
              <a:xfrm>
                <a:off x="1653540" y="504824"/>
                <a:ext cx="312420" cy="421005"/>
              </a:xfrm>
              <a:prstGeom prst="rect">
                <a:avLst/>
              </a:prstGeom>
              <a:grpFill/>
              <a:ln w="6350" algn="ctr">
                <a:solidFill>
                  <a:schemeClr val="tx1"/>
                </a:solidFill>
                <a:round/>
                <a:headEnd/>
                <a:tailEnd/>
              </a:ln>
            </xdr:spPr>
          </xdr:sp>
          <xdr:sp macro="" textlink="">
            <xdr:nvSpPr>
              <xdr:cNvPr id="18" name="正方形/長方形 146">
                <a:extLst>
                  <a:ext uri="{FF2B5EF4-FFF2-40B4-BE49-F238E27FC236}">
                    <a16:creationId xmlns:a16="http://schemas.microsoft.com/office/drawing/2014/main" id="{A2E9940E-5D35-4278-BA02-A26160675393}"/>
                  </a:ext>
                </a:extLst>
              </xdr:cNvPr>
              <xdr:cNvSpPr>
                <a:spLocks noChangeArrowheads="1"/>
              </xdr:cNvSpPr>
            </xdr:nvSpPr>
            <xdr:spPr bwMode="auto">
              <a:xfrm>
                <a:off x="1965960" y="504824"/>
                <a:ext cx="312420" cy="421005"/>
              </a:xfrm>
              <a:prstGeom prst="rect">
                <a:avLst/>
              </a:prstGeom>
              <a:grpFill/>
              <a:ln w="6350" algn="ctr">
                <a:solidFill>
                  <a:schemeClr val="tx1"/>
                </a:solidFill>
                <a:round/>
                <a:headEnd/>
                <a:tailEnd/>
              </a:ln>
            </xdr:spPr>
          </xdr:sp>
          <xdr:sp macro="" textlink="">
            <xdr:nvSpPr>
              <xdr:cNvPr id="19" name="正方形/長方形 147">
                <a:extLst>
                  <a:ext uri="{FF2B5EF4-FFF2-40B4-BE49-F238E27FC236}">
                    <a16:creationId xmlns:a16="http://schemas.microsoft.com/office/drawing/2014/main" id="{40F89E8C-E21B-41BE-89F3-AE7F8699A321}"/>
                  </a:ext>
                </a:extLst>
              </xdr:cNvPr>
              <xdr:cNvSpPr>
                <a:spLocks noChangeArrowheads="1"/>
              </xdr:cNvSpPr>
            </xdr:nvSpPr>
            <xdr:spPr bwMode="auto">
              <a:xfrm>
                <a:off x="2278380" y="504824"/>
                <a:ext cx="312420" cy="421005"/>
              </a:xfrm>
              <a:prstGeom prst="rect">
                <a:avLst/>
              </a:prstGeom>
              <a:grpFill/>
              <a:ln w="6350" algn="ctr">
                <a:solidFill>
                  <a:schemeClr val="tx1"/>
                </a:solidFill>
                <a:round/>
                <a:headEnd/>
                <a:tailEnd/>
              </a:ln>
            </xdr:spPr>
          </xdr:sp>
          <xdr:sp macro="" textlink="">
            <xdr:nvSpPr>
              <xdr:cNvPr id="20" name="正方形/長方形 148">
                <a:extLst>
                  <a:ext uri="{FF2B5EF4-FFF2-40B4-BE49-F238E27FC236}">
                    <a16:creationId xmlns:a16="http://schemas.microsoft.com/office/drawing/2014/main" id="{F188A841-0AEB-4055-B022-F0501201B1AA}"/>
                  </a:ext>
                </a:extLst>
              </xdr:cNvPr>
              <xdr:cNvSpPr>
                <a:spLocks noChangeArrowheads="1"/>
              </xdr:cNvSpPr>
            </xdr:nvSpPr>
            <xdr:spPr bwMode="auto">
              <a:xfrm>
                <a:off x="2590800" y="504824"/>
                <a:ext cx="312420" cy="421005"/>
              </a:xfrm>
              <a:prstGeom prst="rect">
                <a:avLst/>
              </a:prstGeom>
              <a:grpFill/>
              <a:ln w="6350" algn="ctr">
                <a:solidFill>
                  <a:schemeClr val="tx1"/>
                </a:solidFill>
                <a:round/>
                <a:headEnd/>
                <a:tailEnd/>
              </a:ln>
            </xdr:spPr>
          </xdr:sp>
          <xdr:sp macro="" textlink="">
            <xdr:nvSpPr>
              <xdr:cNvPr id="21" name="正方形/長方形 149">
                <a:extLst>
                  <a:ext uri="{FF2B5EF4-FFF2-40B4-BE49-F238E27FC236}">
                    <a16:creationId xmlns:a16="http://schemas.microsoft.com/office/drawing/2014/main" id="{0CFD986C-E7DF-4D27-981E-68E4C441D60D}"/>
                  </a:ext>
                </a:extLst>
              </xdr:cNvPr>
              <xdr:cNvSpPr>
                <a:spLocks noChangeArrowheads="1"/>
              </xdr:cNvSpPr>
            </xdr:nvSpPr>
            <xdr:spPr bwMode="auto">
              <a:xfrm>
                <a:off x="2903220" y="504824"/>
                <a:ext cx="312420" cy="421005"/>
              </a:xfrm>
              <a:prstGeom prst="rect">
                <a:avLst/>
              </a:prstGeom>
              <a:grpFill/>
              <a:ln w="6350" algn="ctr">
                <a:solidFill>
                  <a:schemeClr val="tx1"/>
                </a:solidFill>
                <a:round/>
                <a:headEnd/>
                <a:tailEnd/>
              </a:ln>
            </xdr:spPr>
          </xdr:sp>
          <xdr:sp macro="" textlink="">
            <xdr:nvSpPr>
              <xdr:cNvPr id="22" name="正方形/長方形 150">
                <a:extLst>
                  <a:ext uri="{FF2B5EF4-FFF2-40B4-BE49-F238E27FC236}">
                    <a16:creationId xmlns:a16="http://schemas.microsoft.com/office/drawing/2014/main" id="{7BAC1C70-C154-4011-B7D6-88198C4D58F9}"/>
                  </a:ext>
                </a:extLst>
              </xdr:cNvPr>
              <xdr:cNvSpPr>
                <a:spLocks noChangeArrowheads="1"/>
              </xdr:cNvSpPr>
            </xdr:nvSpPr>
            <xdr:spPr bwMode="auto">
              <a:xfrm>
                <a:off x="3215640" y="504824"/>
                <a:ext cx="312420" cy="421005"/>
              </a:xfrm>
              <a:prstGeom prst="rect">
                <a:avLst/>
              </a:prstGeom>
              <a:grpFill/>
              <a:ln w="6350" algn="ctr">
                <a:solidFill>
                  <a:schemeClr val="tx1"/>
                </a:solidFill>
                <a:round/>
                <a:headEnd/>
                <a:tailEnd/>
              </a:ln>
            </xdr:spPr>
          </xdr:sp>
        </xdr:grpSp>
        <xdr:sp macro="" textlink="">
          <xdr:nvSpPr>
            <xdr:cNvPr id="14" name="正方形/長方形 142">
              <a:extLst>
                <a:ext uri="{FF2B5EF4-FFF2-40B4-BE49-F238E27FC236}">
                  <a16:creationId xmlns:a16="http://schemas.microsoft.com/office/drawing/2014/main" id="{D3652E87-A7F2-4522-AC4A-EFF2ED99582C}"/>
                </a:ext>
              </a:extLst>
            </xdr:cNvPr>
            <xdr:cNvSpPr>
              <a:spLocks noChangeArrowheads="1"/>
            </xdr:cNvSpPr>
          </xdr:nvSpPr>
          <xdr:spPr bwMode="auto">
            <a:xfrm>
              <a:off x="6578889" y="501966"/>
              <a:ext cx="346737" cy="419100"/>
            </a:xfrm>
            <a:prstGeom prst="rect">
              <a:avLst/>
            </a:prstGeom>
            <a:grpFill/>
            <a:ln w="6350" algn="ctr">
              <a:solidFill>
                <a:schemeClr val="tx1"/>
              </a:solidFill>
              <a:round/>
              <a:headEnd/>
              <a:tailEnd/>
            </a:ln>
          </xdr:spPr>
        </xdr:sp>
      </xdr:grpSp>
      <xdr:sp macro="" textlink="">
        <xdr:nvSpPr>
          <xdr:cNvPr id="4" name="二等辺三角形 132">
            <a:extLst>
              <a:ext uri="{FF2B5EF4-FFF2-40B4-BE49-F238E27FC236}">
                <a16:creationId xmlns:a16="http://schemas.microsoft.com/office/drawing/2014/main" id="{849BB06B-3EAD-43F4-AC9B-5EC86E482702}"/>
              </a:ext>
            </a:extLst>
          </xdr:cNvPr>
          <xdr:cNvSpPr>
            <a:spLocks noChangeArrowheads="1"/>
          </xdr:cNvSpPr>
        </xdr:nvSpPr>
        <xdr:spPr bwMode="auto">
          <a:xfrm>
            <a:off x="2250440" y="10233660"/>
            <a:ext cx="53340" cy="53340"/>
          </a:xfrm>
          <a:prstGeom prst="triangle">
            <a:avLst>
              <a:gd name="adj" fmla="val 50000"/>
            </a:avLst>
          </a:prstGeom>
          <a:grpFill/>
          <a:ln w="6350" algn="ctr">
            <a:solidFill>
              <a:schemeClr val="tx1"/>
            </a:solidFill>
            <a:round/>
            <a:headEnd/>
            <a:tailEnd/>
          </a:ln>
        </xdr:spPr>
      </xdr:sp>
      <xdr:sp macro="" textlink="">
        <xdr:nvSpPr>
          <xdr:cNvPr id="5" name="二等辺三角形 133">
            <a:extLst>
              <a:ext uri="{FF2B5EF4-FFF2-40B4-BE49-F238E27FC236}">
                <a16:creationId xmlns:a16="http://schemas.microsoft.com/office/drawing/2014/main" id="{6F59BF09-811C-46E1-BD69-6C0AE5CAD9A4}"/>
              </a:ext>
            </a:extLst>
          </xdr:cNvPr>
          <xdr:cNvSpPr>
            <a:spLocks noChangeArrowheads="1"/>
          </xdr:cNvSpPr>
        </xdr:nvSpPr>
        <xdr:spPr bwMode="auto">
          <a:xfrm rot="10800000">
            <a:off x="2245360" y="9870440"/>
            <a:ext cx="53340" cy="60960"/>
          </a:xfrm>
          <a:prstGeom prst="triangle">
            <a:avLst>
              <a:gd name="adj" fmla="val 50000"/>
            </a:avLst>
          </a:prstGeom>
          <a:grpFill/>
          <a:ln w="6350" algn="ctr">
            <a:solidFill>
              <a:schemeClr val="tx1"/>
            </a:solidFill>
            <a:round/>
            <a:headEnd/>
            <a:tailEnd/>
          </a:ln>
        </xdr:spPr>
      </xdr:sp>
      <xdr:sp macro="" textlink="">
        <xdr:nvSpPr>
          <xdr:cNvPr id="6" name="二等辺三角形 134">
            <a:extLst>
              <a:ext uri="{FF2B5EF4-FFF2-40B4-BE49-F238E27FC236}">
                <a16:creationId xmlns:a16="http://schemas.microsoft.com/office/drawing/2014/main" id="{B5F4EC4A-D37F-43E5-B97A-03C50E1CD21F}"/>
              </a:ext>
            </a:extLst>
          </xdr:cNvPr>
          <xdr:cNvSpPr>
            <a:spLocks noChangeArrowheads="1"/>
          </xdr:cNvSpPr>
        </xdr:nvSpPr>
        <xdr:spPr bwMode="auto">
          <a:xfrm>
            <a:off x="3977640" y="10233660"/>
            <a:ext cx="53340" cy="53340"/>
          </a:xfrm>
          <a:prstGeom prst="triangle">
            <a:avLst>
              <a:gd name="adj" fmla="val 50000"/>
            </a:avLst>
          </a:prstGeom>
          <a:grpFill/>
          <a:ln w="6350" algn="ctr">
            <a:solidFill>
              <a:schemeClr val="tx1"/>
            </a:solidFill>
            <a:round/>
            <a:headEnd/>
            <a:tailEnd/>
          </a:ln>
        </xdr:spPr>
      </xdr:sp>
      <xdr:sp macro="" textlink="">
        <xdr:nvSpPr>
          <xdr:cNvPr id="7" name="二等辺三角形 135">
            <a:extLst>
              <a:ext uri="{FF2B5EF4-FFF2-40B4-BE49-F238E27FC236}">
                <a16:creationId xmlns:a16="http://schemas.microsoft.com/office/drawing/2014/main" id="{FFD7DA15-AD4F-4DB3-BFDC-88DB3B0BAD4D}"/>
              </a:ext>
            </a:extLst>
          </xdr:cNvPr>
          <xdr:cNvSpPr>
            <a:spLocks noChangeArrowheads="1"/>
          </xdr:cNvSpPr>
        </xdr:nvSpPr>
        <xdr:spPr bwMode="auto">
          <a:xfrm rot="10800000">
            <a:off x="3982720" y="9870440"/>
            <a:ext cx="53340" cy="60960"/>
          </a:xfrm>
          <a:prstGeom prst="triangle">
            <a:avLst>
              <a:gd name="adj" fmla="val 50000"/>
            </a:avLst>
          </a:prstGeom>
          <a:grpFill/>
          <a:ln w="6350" algn="ctr">
            <a:solidFill>
              <a:schemeClr val="tx1"/>
            </a:solidFill>
            <a:round/>
            <a:headEnd/>
            <a:tailEnd/>
          </a:ln>
        </xdr:spPr>
      </xdr:sp>
      <xdr:sp macro="" textlink="">
        <xdr:nvSpPr>
          <xdr:cNvPr id="8" name="二等辺三角形 136">
            <a:extLst>
              <a:ext uri="{FF2B5EF4-FFF2-40B4-BE49-F238E27FC236}">
                <a16:creationId xmlns:a16="http://schemas.microsoft.com/office/drawing/2014/main" id="{3DD6594A-AB23-462B-9F62-FFE105DCBDB8}"/>
              </a:ext>
            </a:extLst>
          </xdr:cNvPr>
          <xdr:cNvSpPr>
            <a:spLocks noChangeArrowheads="1"/>
          </xdr:cNvSpPr>
        </xdr:nvSpPr>
        <xdr:spPr bwMode="auto">
          <a:xfrm>
            <a:off x="6070600" y="10233660"/>
            <a:ext cx="53340" cy="53340"/>
          </a:xfrm>
          <a:prstGeom prst="triangle">
            <a:avLst>
              <a:gd name="adj" fmla="val 50000"/>
            </a:avLst>
          </a:prstGeom>
          <a:grpFill/>
          <a:ln w="6350" algn="ctr">
            <a:solidFill>
              <a:schemeClr val="tx1"/>
            </a:solidFill>
            <a:round/>
            <a:headEnd/>
            <a:tailEnd/>
          </a:ln>
        </xdr:spPr>
      </xdr:sp>
      <xdr:sp macro="" textlink="">
        <xdr:nvSpPr>
          <xdr:cNvPr id="9" name="二等辺三角形 137">
            <a:extLst>
              <a:ext uri="{FF2B5EF4-FFF2-40B4-BE49-F238E27FC236}">
                <a16:creationId xmlns:a16="http://schemas.microsoft.com/office/drawing/2014/main" id="{021D7EFE-0DEE-4B09-BFD3-CF435E390DB3}"/>
              </a:ext>
            </a:extLst>
          </xdr:cNvPr>
          <xdr:cNvSpPr>
            <a:spLocks noChangeArrowheads="1"/>
          </xdr:cNvSpPr>
        </xdr:nvSpPr>
        <xdr:spPr bwMode="auto">
          <a:xfrm rot="10800000">
            <a:off x="6070600" y="9870440"/>
            <a:ext cx="53340" cy="60960"/>
          </a:xfrm>
          <a:prstGeom prst="triangle">
            <a:avLst>
              <a:gd name="adj" fmla="val 50000"/>
            </a:avLst>
          </a:prstGeom>
          <a:grpFill/>
          <a:ln w="6350" algn="ctr">
            <a:solidFill>
              <a:schemeClr val="tx1"/>
            </a:solidFill>
            <a:round/>
            <a:headEnd/>
            <a:tailEnd/>
          </a:ln>
        </xdr:spPr>
      </xdr:sp>
      <xdr:sp macro="" textlink="">
        <xdr:nvSpPr>
          <xdr:cNvPr id="10" name="二等辺三角形 138">
            <a:extLst>
              <a:ext uri="{FF2B5EF4-FFF2-40B4-BE49-F238E27FC236}">
                <a16:creationId xmlns:a16="http://schemas.microsoft.com/office/drawing/2014/main" id="{08D17E86-C81D-49CA-BBB0-B0EE24F479AF}"/>
              </a:ext>
            </a:extLst>
          </xdr:cNvPr>
          <xdr:cNvSpPr>
            <a:spLocks noChangeArrowheads="1"/>
          </xdr:cNvSpPr>
        </xdr:nvSpPr>
        <xdr:spPr bwMode="auto">
          <a:xfrm>
            <a:off x="4331469" y="10238739"/>
            <a:ext cx="53340" cy="53341"/>
          </a:xfrm>
          <a:prstGeom prst="triangle">
            <a:avLst>
              <a:gd name="adj" fmla="val 50000"/>
            </a:avLst>
          </a:prstGeom>
          <a:grpFill/>
          <a:ln w="6350" algn="ctr">
            <a:solidFill>
              <a:schemeClr val="tx1"/>
            </a:solidFill>
            <a:round/>
            <a:headEnd/>
            <a:tailEnd/>
          </a:ln>
        </xdr:spPr>
      </xdr:sp>
      <xdr:sp macro="" textlink="">
        <xdr:nvSpPr>
          <xdr:cNvPr id="11" name="二等辺三角形 139">
            <a:extLst>
              <a:ext uri="{FF2B5EF4-FFF2-40B4-BE49-F238E27FC236}">
                <a16:creationId xmlns:a16="http://schemas.microsoft.com/office/drawing/2014/main" id="{CB0C33D9-2B49-4D69-A84F-A0D68C3F4AB3}"/>
              </a:ext>
            </a:extLst>
          </xdr:cNvPr>
          <xdr:cNvSpPr>
            <a:spLocks noChangeArrowheads="1"/>
          </xdr:cNvSpPr>
        </xdr:nvSpPr>
        <xdr:spPr bwMode="auto">
          <a:xfrm rot="10800000">
            <a:off x="4330700" y="9870440"/>
            <a:ext cx="53340" cy="60960"/>
          </a:xfrm>
          <a:prstGeom prst="triangle">
            <a:avLst>
              <a:gd name="adj" fmla="val 50000"/>
            </a:avLst>
          </a:prstGeom>
          <a:grpFill/>
          <a:ln w="6350" algn="ctr">
            <a:solidFill>
              <a:schemeClr val="tx1"/>
            </a:solidFill>
            <a:round/>
            <a:headEnd/>
            <a:tailEnd/>
          </a:ln>
        </xdr:spPr>
      </xdr:sp>
    </xdr:grpSp>
    <xdr:clientData/>
  </xdr:twoCellAnchor>
  <xdr:twoCellAnchor editAs="oneCell">
    <xdr:from>
      <xdr:col>1</xdr:col>
      <xdr:colOff>43880</xdr:colOff>
      <xdr:row>5</xdr:row>
      <xdr:rowOff>3351</xdr:rowOff>
    </xdr:from>
    <xdr:to>
      <xdr:col>4</xdr:col>
      <xdr:colOff>118108</xdr:colOff>
      <xdr:row>20</xdr:row>
      <xdr:rowOff>193462</xdr:rowOff>
    </xdr:to>
    <xdr:pic>
      <xdr:nvPicPr>
        <xdr:cNvPr id="68" name="図 67">
          <a:extLst>
            <a:ext uri="{FF2B5EF4-FFF2-40B4-BE49-F238E27FC236}">
              <a16:creationId xmlns:a16="http://schemas.microsoft.com/office/drawing/2014/main" id="{7990EA11-11AD-183A-7B4D-71B77422D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63" y="1347434"/>
          <a:ext cx="486978" cy="4314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LD">
      <a:dk1>
        <a:sysClr val="windowText" lastClr="000000"/>
      </a:dk1>
      <a:lt1>
        <a:sysClr val="window" lastClr="FFFFFF"/>
      </a:lt1>
      <a:dk2>
        <a:srgbClr val="575F6D"/>
      </a:dk2>
      <a:lt2>
        <a:srgbClr val="FFF39D"/>
      </a:lt2>
      <a:accent1>
        <a:srgbClr val="FF99CC"/>
      </a:accent1>
      <a:accent2>
        <a:srgbClr val="FFCC99"/>
      </a:accent2>
      <a:accent3>
        <a:srgbClr val="FFFF99"/>
      </a:accent3>
      <a:accent4>
        <a:srgbClr val="CCFFCC"/>
      </a:accent4>
      <a:accent5>
        <a:srgbClr val="CCFFFF"/>
      </a:accent5>
      <a:accent6>
        <a:srgbClr val="CC99FF"/>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solidFill>
            <a:srgbClr val="FF6600"/>
          </a:solidFill>
          <a:round/>
          <a:headEnd/>
          <a:tailEnd/>
        </a:ln>
        <a:extLst>
          <a:ext uri="{909E8E84-426E-40DD-AFC4-6F175D3DCCD1}">
            <a14:hiddenFill xmlns:a14="http://schemas.microsoft.com/office/drawing/2010/main">
              <a:solidFill>
                <a:srgbClr val="FFFFFF"/>
              </a:solidFill>
            </a14:hiddenFill>
          </a:ext>
        </a:extLst>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B43DA-B669-4C38-9066-54899BCB6317}">
  <sheetPr>
    <pageSetUpPr fitToPage="1"/>
  </sheetPr>
  <dimension ref="A1:AU140"/>
  <sheetViews>
    <sheetView tabSelected="1" zoomScaleNormal="100" workbookViewId="0">
      <selection activeCell="Y1" sqref="Y1"/>
    </sheetView>
  </sheetViews>
  <sheetFormatPr defaultColWidth="9.140625" defaultRowHeight="12.75" customHeight="1" outlineLevelCol="1"/>
  <cols>
    <col min="1" max="1" width="2.28515625" style="4" customWidth="1"/>
    <col min="2" max="2" width="12" style="4" customWidth="1"/>
    <col min="3" max="7" width="6.28515625" style="4" customWidth="1"/>
    <col min="8" max="8" width="12.5703125" style="4" customWidth="1"/>
    <col min="9" max="9" width="5.5703125" style="4" customWidth="1"/>
    <col min="10" max="10" width="8.5703125" style="4" customWidth="1"/>
    <col min="11" max="12" width="6.28515625" style="4" customWidth="1"/>
    <col min="13" max="14" width="10.5703125" style="4" customWidth="1"/>
    <col min="15" max="15" width="11.28515625" style="4" customWidth="1"/>
    <col min="16" max="16" width="5.5703125" style="4" customWidth="1"/>
    <col min="17" max="18" width="5.42578125" style="4" customWidth="1"/>
    <col min="19" max="21" width="4.28515625" style="4" customWidth="1"/>
    <col min="22" max="22" width="6.28515625" style="4" customWidth="1"/>
    <col min="23" max="25" width="10.7109375" style="4" customWidth="1"/>
    <col min="26" max="26" width="7.28515625" style="4" customWidth="1"/>
    <col min="27" max="27" width="4.7109375" style="4" hidden="1" customWidth="1" outlineLevel="1"/>
    <col min="28" max="28" width="17" style="4" hidden="1" customWidth="1" outlineLevel="1"/>
    <col min="29" max="29" width="8.5703125" style="4" hidden="1" customWidth="1" outlineLevel="1"/>
    <col min="30" max="31" width="8.5703125" style="1" hidden="1" customWidth="1" outlineLevel="1"/>
    <col min="32" max="34" width="8.140625" style="4" hidden="1" customWidth="1" outlineLevel="1"/>
    <col min="35" max="36" width="7.28515625" style="4" hidden="1" customWidth="1" outlineLevel="1"/>
    <col min="37" max="37" width="10.5703125" style="4" hidden="1" customWidth="1" outlineLevel="1"/>
    <col min="38" max="38" width="5.42578125" style="4" hidden="1" customWidth="1" outlineLevel="1"/>
    <col min="39" max="39" width="9.140625" style="4" hidden="1" customWidth="1" outlineLevel="1"/>
    <col min="40" max="40" width="6.5703125" style="4" hidden="1" customWidth="1" outlineLevel="1"/>
    <col min="41" max="41" width="10" style="4" hidden="1" customWidth="1" outlineLevel="1"/>
    <col min="42" max="42" width="9.28515625" style="4" hidden="1" customWidth="1" outlineLevel="1"/>
    <col min="43" max="43" width="10" style="4" hidden="1" customWidth="1" outlineLevel="1"/>
    <col min="44" max="44" width="9.28515625" style="4" hidden="1" customWidth="1" outlineLevel="1"/>
    <col min="45" max="46" width="9.140625" style="4" hidden="1" customWidth="1" outlineLevel="1"/>
    <col min="47" max="47" width="9.140625" style="4" collapsed="1"/>
    <col min="48" max="16384" width="9.140625" style="4"/>
  </cols>
  <sheetData>
    <row r="1" spans="1:45" ht="12.75" customHeight="1">
      <c r="A1"/>
      <c r="B1" s="81" t="s">
        <v>437</v>
      </c>
      <c r="K1" s="6" t="s">
        <v>134</v>
      </c>
      <c r="Y1" s="67" t="s">
        <v>485</v>
      </c>
      <c r="Z1" s="297"/>
      <c r="AD1" s="4"/>
      <c r="AF1" s="1"/>
    </row>
    <row r="2" spans="1:45" ht="12.75" customHeight="1">
      <c r="B2" s="5"/>
      <c r="C2" s="4" t="s">
        <v>64</v>
      </c>
      <c r="AD2" s="4"/>
      <c r="AF2" s="1"/>
    </row>
    <row r="3" spans="1:45" ht="12.75" customHeight="1">
      <c r="B3" s="7"/>
      <c r="C3" s="8" t="s">
        <v>241</v>
      </c>
      <c r="K3" s="139" t="s">
        <v>275</v>
      </c>
      <c r="AD3" s="4"/>
      <c r="AF3" s="1"/>
    </row>
    <row r="4" spans="1:45" ht="12.75" customHeight="1">
      <c r="B4" s="9"/>
      <c r="C4" s="4" t="s">
        <v>65</v>
      </c>
      <c r="K4" s="139" t="s">
        <v>276</v>
      </c>
    </row>
    <row r="5" spans="1:45" ht="12.75" customHeight="1">
      <c r="W5" s="327"/>
    </row>
    <row r="6" spans="1:45" ht="16.149999999999999" customHeight="1">
      <c r="B6" s="19" t="s">
        <v>66</v>
      </c>
      <c r="C6" s="10" t="str">
        <f>M12&amp;" "&amp;N12</f>
        <v xml:space="preserve"> </v>
      </c>
    </row>
    <row r="7" spans="1:45" ht="12.75" customHeight="1">
      <c r="B7" s="10"/>
      <c r="T7" s="80" t="s">
        <v>439</v>
      </c>
    </row>
    <row r="8" spans="1:45" ht="12.75" customHeight="1">
      <c r="B8" s="80" t="s">
        <v>438</v>
      </c>
      <c r="K8" s="422" t="s">
        <v>69</v>
      </c>
      <c r="L8" s="422"/>
      <c r="M8" s="423"/>
      <c r="N8" s="423"/>
      <c r="O8" s="424" t="s">
        <v>156</v>
      </c>
      <c r="Y8" s="167"/>
      <c r="AA8" s="4" t="s">
        <v>440</v>
      </c>
    </row>
    <row r="9" spans="1:45" ht="12.75" customHeight="1">
      <c r="B9" s="479" t="s">
        <v>67</v>
      </c>
      <c r="C9" s="480" t="s">
        <v>68</v>
      </c>
      <c r="D9" s="481"/>
      <c r="E9" s="482"/>
      <c r="F9" s="482"/>
      <c r="G9" s="482"/>
      <c r="H9" s="482"/>
      <c r="I9" s="482"/>
      <c r="J9" s="482"/>
      <c r="K9" s="435" t="s">
        <v>236</v>
      </c>
      <c r="L9" s="435"/>
      <c r="M9" s="483"/>
      <c r="N9" s="483"/>
      <c r="O9" s="424"/>
      <c r="T9" s="430" t="s">
        <v>70</v>
      </c>
      <c r="U9" s="432"/>
      <c r="V9" s="268" t="s">
        <v>71</v>
      </c>
      <c r="W9" s="12" t="s">
        <v>72</v>
      </c>
      <c r="X9" s="12" t="s">
        <v>73</v>
      </c>
      <c r="Y9" s="12" t="s">
        <v>74</v>
      </c>
      <c r="AA9" s="19" t="s">
        <v>82</v>
      </c>
      <c r="AB9" s="302" t="s">
        <v>2</v>
      </c>
      <c r="AC9" s="13">
        <f>COUNTA(E17:E20)+COUNTA(E61:E63)-AC10</f>
        <v>0</v>
      </c>
      <c r="AD9" s="82">
        <v>380000</v>
      </c>
      <c r="AE9" s="14">
        <f>AD9*AC9</f>
        <v>0</v>
      </c>
      <c r="AG9" s="15"/>
      <c r="AH9" s="15"/>
      <c r="AK9" s="16" t="s">
        <v>3</v>
      </c>
      <c r="AL9" s="17"/>
      <c r="AM9" s="18"/>
      <c r="AN9" s="2"/>
      <c r="AO9" s="14">
        <f>$X$33</f>
        <v>0</v>
      </c>
      <c r="AP9" s="4" t="s">
        <v>310</v>
      </c>
      <c r="AS9" s="19"/>
    </row>
    <row r="10" spans="1:45" ht="12.75" customHeight="1">
      <c r="B10" s="479"/>
      <c r="C10" s="474" t="s">
        <v>75</v>
      </c>
      <c r="D10" s="475"/>
      <c r="E10" s="476"/>
      <c r="F10" s="476"/>
      <c r="G10" s="476"/>
      <c r="H10" s="476"/>
      <c r="I10" s="476"/>
      <c r="J10" s="476"/>
      <c r="K10" s="435" t="s">
        <v>84</v>
      </c>
      <c r="L10" s="435"/>
      <c r="M10" s="477"/>
      <c r="N10" s="478"/>
      <c r="O10" s="424"/>
      <c r="T10" s="427" t="s">
        <v>77</v>
      </c>
      <c r="U10" s="12">
        <v>1</v>
      </c>
      <c r="V10" s="22"/>
      <c r="W10" s="265"/>
      <c r="X10" s="265"/>
      <c r="Y10" s="265"/>
      <c r="AA10" s="19"/>
      <c r="AB10" s="302" t="s">
        <v>5</v>
      </c>
      <c r="AC10" s="13">
        <f>COUNTIF(Q17:Q20,"対象外")+COUNTIF(Q61:Q63,"対象外")</f>
        <v>0</v>
      </c>
      <c r="AD10" s="4"/>
      <c r="AE10" s="4"/>
      <c r="AG10" s="23"/>
      <c r="AH10" s="23"/>
      <c r="AK10" s="304" t="s">
        <v>78</v>
      </c>
      <c r="AL10" s="24" t="s">
        <v>6</v>
      </c>
      <c r="AM10" s="304" t="s">
        <v>79</v>
      </c>
      <c r="AN10" s="2"/>
      <c r="AO10" s="27" t="s">
        <v>6</v>
      </c>
      <c r="AP10" s="28" t="s">
        <v>9</v>
      </c>
      <c r="AQ10" s="19" t="s">
        <v>10</v>
      </c>
      <c r="AR10" s="19" t="s">
        <v>11</v>
      </c>
      <c r="AS10" s="19"/>
    </row>
    <row r="11" spans="1:45" ht="12.75" customHeight="1">
      <c r="B11" s="479"/>
      <c r="C11" s="458" t="s">
        <v>237</v>
      </c>
      <c r="D11" s="459"/>
      <c r="E11" s="460"/>
      <c r="F11" s="460"/>
      <c r="G11" s="460"/>
      <c r="H11" s="67"/>
      <c r="K11" s="422" t="s">
        <v>76</v>
      </c>
      <c r="L11" s="422"/>
      <c r="M11" s="79"/>
      <c r="N11" s="20"/>
      <c r="O11" s="21" t="s">
        <v>4</v>
      </c>
      <c r="T11" s="428"/>
      <c r="U11" s="12">
        <v>2</v>
      </c>
      <c r="V11" s="22"/>
      <c r="W11" s="265"/>
      <c r="X11" s="265"/>
      <c r="Y11" s="265"/>
      <c r="Z11" s="67"/>
      <c r="AA11" s="19" t="s">
        <v>171</v>
      </c>
      <c r="AB11" s="302" t="s">
        <v>160</v>
      </c>
      <c r="AC11" s="13">
        <f>SUM(AD30:AE30)</f>
        <v>0</v>
      </c>
      <c r="AD11" s="82">
        <v>750000</v>
      </c>
      <c r="AE11" s="14">
        <f>AC11*AD11</f>
        <v>0</v>
      </c>
      <c r="AK11" s="337">
        <v>0</v>
      </c>
      <c r="AL11" s="337">
        <v>1</v>
      </c>
      <c r="AM11" s="337">
        <v>0</v>
      </c>
      <c r="AN11" s="2"/>
      <c r="AO11" s="2">
        <f>LOOKUP($AO$9,$AK$11:$AK$15,$AL$11:$AL$15)</f>
        <v>1</v>
      </c>
      <c r="AP11" s="2">
        <f>LOOKUP($AO$9,$AK$11:$AK$15,$AM$11:$AM$15)</f>
        <v>0</v>
      </c>
      <c r="AQ11" s="2">
        <f>ROUNDDOWN(($AO$9-$AP$11)/$AO$11,0)</f>
        <v>0</v>
      </c>
      <c r="AR11" s="2">
        <f>$AQ$11*$AO$11-$AO$9+$AP$11</f>
        <v>0</v>
      </c>
      <c r="AS11" s="19"/>
    </row>
    <row r="12" spans="1:45" ht="12.75" customHeight="1">
      <c r="B12" s="479"/>
      <c r="C12" s="435" t="s">
        <v>80</v>
      </c>
      <c r="D12" s="435"/>
      <c r="E12" s="477"/>
      <c r="F12" s="484"/>
      <c r="G12" s="478"/>
      <c r="K12" s="435" t="s">
        <v>66</v>
      </c>
      <c r="L12" s="435"/>
      <c r="M12" s="291"/>
      <c r="N12" s="292"/>
      <c r="O12" s="293"/>
      <c r="T12" s="428"/>
      <c r="U12" s="12">
        <v>3</v>
      </c>
      <c r="V12" s="22"/>
      <c r="W12" s="265"/>
      <c r="X12" s="265"/>
      <c r="Y12" s="265"/>
      <c r="Z12" s="67"/>
      <c r="AA12" s="19" t="s">
        <v>172</v>
      </c>
      <c r="AB12" s="302" t="s">
        <v>161</v>
      </c>
      <c r="AC12" s="13">
        <f>SUM(AC29:AE29)</f>
        <v>0</v>
      </c>
      <c r="AD12" s="82">
        <v>400000</v>
      </c>
      <c r="AE12" s="14">
        <f>AC12*AD12</f>
        <v>0</v>
      </c>
      <c r="AK12" s="337">
        <v>1900000</v>
      </c>
      <c r="AL12" s="337">
        <v>4000</v>
      </c>
      <c r="AM12" s="337">
        <v>1900000</v>
      </c>
      <c r="AN12" s="2"/>
      <c r="AO12" s="4" t="s">
        <v>13</v>
      </c>
      <c r="AP12" s="33">
        <f>$AO$9+$AR$11</f>
        <v>0</v>
      </c>
      <c r="AS12" s="19"/>
    </row>
    <row r="13" spans="1:45" ht="12.75" customHeight="1">
      <c r="B13" s="479"/>
      <c r="C13" s="458" t="s">
        <v>81</v>
      </c>
      <c r="D13" s="459"/>
      <c r="E13" s="461"/>
      <c r="F13" s="461"/>
      <c r="G13" s="461"/>
      <c r="H13" s="12" t="s">
        <v>83</v>
      </c>
      <c r="I13" s="462"/>
      <c r="J13" s="462"/>
      <c r="K13" s="435" t="s">
        <v>7</v>
      </c>
      <c r="L13" s="435"/>
      <c r="M13" s="463"/>
      <c r="N13" s="463"/>
      <c r="O13" s="464"/>
      <c r="T13" s="428"/>
      <c r="U13" s="12">
        <v>4</v>
      </c>
      <c r="V13" s="22"/>
      <c r="W13" s="265"/>
      <c r="X13" s="265"/>
      <c r="Y13" s="265"/>
      <c r="Z13" s="83"/>
      <c r="AA13" s="85" t="s">
        <v>173</v>
      </c>
      <c r="AB13" s="302" t="s">
        <v>15</v>
      </c>
      <c r="AC13" s="13">
        <f>SUM(AC28:AE28)</f>
        <v>0</v>
      </c>
      <c r="AD13" s="82">
        <v>270000</v>
      </c>
      <c r="AE13" s="14">
        <f>AC13*AD13</f>
        <v>0</v>
      </c>
      <c r="AK13" s="337">
        <v>6600000</v>
      </c>
      <c r="AL13" s="337">
        <v>1</v>
      </c>
      <c r="AM13" s="337">
        <v>0</v>
      </c>
      <c r="AN13" s="2"/>
      <c r="AO13" s="19" t="s">
        <v>17</v>
      </c>
      <c r="AP13" s="4" t="s">
        <v>18</v>
      </c>
      <c r="AQ13" s="4" t="s">
        <v>19</v>
      </c>
      <c r="AS13" s="19"/>
    </row>
    <row r="14" spans="1:45" ht="12.75" customHeight="1">
      <c r="P14" s="67"/>
      <c r="Q14" s="290"/>
      <c r="R14" s="290"/>
      <c r="T14" s="428"/>
      <c r="U14" s="12">
        <v>5</v>
      </c>
      <c r="V14" s="22"/>
      <c r="W14" s="265"/>
      <c r="X14" s="265"/>
      <c r="Y14" s="265"/>
      <c r="Z14" s="67"/>
      <c r="AA14" s="85" t="s">
        <v>177</v>
      </c>
      <c r="AB14" s="302" t="s">
        <v>22</v>
      </c>
      <c r="AC14" s="13">
        <f>SUM(AC31)</f>
        <v>0</v>
      </c>
      <c r="AD14" s="82">
        <v>270000</v>
      </c>
      <c r="AE14" s="298">
        <f>IF(5000000&gt;=MAX(X34,K33),AC14*AD14,0)</f>
        <v>0</v>
      </c>
      <c r="AK14" s="14"/>
      <c r="AL14" s="14"/>
      <c r="AM14" s="14"/>
      <c r="AN14" s="2"/>
      <c r="AO14" s="41">
        <f>LOOKUP($AP$12,$AK$19:$AK$29,$AL$19:$AL$29)</f>
        <v>1</v>
      </c>
      <c r="AP14" s="2">
        <f>IF($AP$12&lt;$AK$20,-$AP$12,LOOKUP($AP$12,$AK$19:$AK$29,$AM$19:$AM$29))</f>
        <v>0</v>
      </c>
      <c r="AQ14" s="14">
        <f>ROUNDDOWN($AP$12*$AO$14+$AP$14,0)</f>
        <v>0</v>
      </c>
      <c r="AS14" s="19"/>
    </row>
    <row r="15" spans="1:45" ht="12.75" customHeight="1">
      <c r="B15" s="470" t="s">
        <v>372</v>
      </c>
      <c r="C15" s="471"/>
      <c r="D15" s="455" t="s">
        <v>167</v>
      </c>
      <c r="E15" s="444"/>
      <c r="F15" s="430" t="s">
        <v>76</v>
      </c>
      <c r="G15" s="432"/>
      <c r="H15" s="12" t="s">
        <v>236</v>
      </c>
      <c r="I15" s="12" t="s">
        <v>85</v>
      </c>
      <c r="J15" s="21" t="s">
        <v>4</v>
      </c>
      <c r="K15" s="30" t="s">
        <v>169</v>
      </c>
      <c r="L15" s="275" t="s">
        <v>285</v>
      </c>
      <c r="M15" s="443" t="s">
        <v>7</v>
      </c>
      <c r="N15" s="444"/>
      <c r="O15" s="31" t="s">
        <v>145</v>
      </c>
      <c r="P15" s="31" t="s">
        <v>240</v>
      </c>
      <c r="Q15" s="32" t="s">
        <v>86</v>
      </c>
      <c r="R15" s="578" t="s">
        <v>474</v>
      </c>
      <c r="T15" s="428"/>
      <c r="U15" s="12">
        <v>6</v>
      </c>
      <c r="V15" s="22"/>
      <c r="W15" s="265"/>
      <c r="X15" s="265"/>
      <c r="Y15" s="265"/>
      <c r="Z15" s="67"/>
      <c r="AA15" s="85" t="s">
        <v>177</v>
      </c>
      <c r="AB15" s="296" t="s">
        <v>23</v>
      </c>
      <c r="AC15" s="13"/>
      <c r="AD15" s="82"/>
      <c r="AE15" s="14"/>
      <c r="AK15" s="14"/>
      <c r="AL15" s="14"/>
      <c r="AM15" s="14"/>
      <c r="AN15" s="2"/>
      <c r="AS15" s="19"/>
    </row>
    <row r="16" spans="1:45" ht="12.75" customHeight="1">
      <c r="B16" s="472"/>
      <c r="C16" s="473"/>
      <c r="D16" s="34"/>
      <c r="E16" s="20"/>
      <c r="F16" s="34"/>
      <c r="G16" s="20"/>
      <c r="H16" s="279"/>
      <c r="I16" s="35" t="s">
        <v>14</v>
      </c>
      <c r="J16" s="39"/>
      <c r="K16" s="36" t="str">
        <f>IF($J$16&gt;=$AF$21,"対象外",IF($J$16="","",IF($J$16&lt;=$AF$25,"老",IF($J$16&gt;=$AF$19,"",""))))</f>
        <v/>
      </c>
      <c r="L16" s="35" t="s">
        <v>14</v>
      </c>
      <c r="M16" s="425"/>
      <c r="N16" s="426"/>
      <c r="O16" s="37">
        <f>+$K$38</f>
        <v>0</v>
      </c>
      <c r="P16" s="35" t="s">
        <v>14</v>
      </c>
      <c r="Q16" s="166" t="str">
        <f>IF(G38="無","",IF($J$16="","",IF(O8="年調対象外",IF(K33&gt;9000000,"対象外",IF(O16&lt;=950000,"源泉","対象外")),IF($P$33&gt;0,"対象",IF($P$30="A",IF($K$38&lt;580000,"対象",IF(K33&gt;9000000,"対象外",IF(O16&lt;=950000,"源泉","対象外"))),"対象外")))))</f>
        <v/>
      </c>
      <c r="R16" s="578"/>
      <c r="T16" s="428"/>
      <c r="U16" s="12">
        <v>7</v>
      </c>
      <c r="V16" s="22"/>
      <c r="W16" s="265"/>
      <c r="X16" s="265"/>
      <c r="Y16" s="265"/>
      <c r="Z16" s="67"/>
      <c r="AA16" s="85" t="s">
        <v>177</v>
      </c>
      <c r="AB16" s="302" t="s">
        <v>24</v>
      </c>
      <c r="AC16" s="13">
        <f>SUM(AE32)</f>
        <v>0</v>
      </c>
      <c r="AD16" s="82">
        <v>270000</v>
      </c>
      <c r="AE16" s="370">
        <f>IF(K32&lt;=100000,IF(850000&gt;=MAX(X34,K33),AC16*AD16,0),0)</f>
        <v>0</v>
      </c>
      <c r="AO16" s="14">
        <f>$I$36</f>
        <v>0</v>
      </c>
      <c r="AP16" s="4" t="s">
        <v>311</v>
      </c>
      <c r="AS16" s="19"/>
    </row>
    <row r="17" spans="2:47" ht="12.75" customHeight="1">
      <c r="B17" s="456" t="s">
        <v>291</v>
      </c>
      <c r="C17" s="269" t="s">
        <v>82</v>
      </c>
      <c r="D17" s="34"/>
      <c r="E17" s="20"/>
      <c r="F17" s="34"/>
      <c r="G17" s="20"/>
      <c r="H17" s="279"/>
      <c r="I17" s="35" t="s">
        <v>14</v>
      </c>
      <c r="J17" s="39"/>
      <c r="K17" s="36" t="str">
        <f>IF($J$17&gt;=$AF$21,"対象外",IF($J$17="","",IF(AND($J$17&lt;=$AF$18,$L$17="同居"),"同居老",IF($J$17&lt;=$AF$18,"老",IF($J$17&gt;=$AF$19,IF($J$17&lt;=$AG$19,"特",""),"")))))</f>
        <v/>
      </c>
      <c r="L17" s="35" t="s">
        <v>14</v>
      </c>
      <c r="M17" s="425"/>
      <c r="N17" s="426"/>
      <c r="O17" s="37">
        <f>+$Y$78</f>
        <v>0</v>
      </c>
      <c r="P17" s="328" t="s">
        <v>14</v>
      </c>
      <c r="Q17" s="115" t="str">
        <f>IF($J$17="","",IF($J$17&gt;=$AF$21,"住民税事項へ",IF($O$17&gt;580000,"対象外","対象")))</f>
        <v/>
      </c>
      <c r="R17" s="369">
        <f>IF(K17="特",IF(IF(C17="－","",LOOKUP(C17,$AC$41:$AC$47,$AH$41:$AH$47))=0,IF($C17="－",0,LOOKUP($O17,$AC$60:$AC$70,$AE$60:$AE$70)),IF($C17="－",0,LOOKUP($O17,$AC$60:$AC$70,$AF$60:$AF$70))),0)</f>
        <v>0</v>
      </c>
      <c r="T17" s="428"/>
      <c r="U17" s="12">
        <v>8</v>
      </c>
      <c r="V17" s="22"/>
      <c r="W17" s="265"/>
      <c r="X17" s="265"/>
      <c r="Y17" s="265"/>
      <c r="Z17" s="67"/>
      <c r="AA17" s="19" t="s">
        <v>178</v>
      </c>
      <c r="AB17" s="193" t="s">
        <v>313</v>
      </c>
      <c r="AC17" s="13">
        <f>SUM(AC32)</f>
        <v>0</v>
      </c>
      <c r="AD17" s="82">
        <v>350000</v>
      </c>
      <c r="AE17" s="298">
        <f>IF(5000000&gt;=MAX(X34,K33),AC17*AD17,0)</f>
        <v>0</v>
      </c>
      <c r="AK17" s="16" t="s">
        <v>87</v>
      </c>
      <c r="AL17" s="38"/>
      <c r="AM17" s="18"/>
      <c r="AN17" s="2"/>
      <c r="AO17" s="27" t="s">
        <v>6</v>
      </c>
      <c r="AP17" s="28" t="s">
        <v>9</v>
      </c>
      <c r="AQ17" s="19" t="s">
        <v>10</v>
      </c>
      <c r="AR17" s="19" t="s">
        <v>11</v>
      </c>
      <c r="AS17" s="19"/>
    </row>
    <row r="18" spans="2:47" ht="12.75" customHeight="1">
      <c r="B18" s="457"/>
      <c r="C18" s="269" t="s">
        <v>165</v>
      </c>
      <c r="D18" s="34"/>
      <c r="E18" s="20"/>
      <c r="F18" s="34"/>
      <c r="G18" s="20"/>
      <c r="H18" s="279"/>
      <c r="I18" s="35" t="s">
        <v>14</v>
      </c>
      <c r="J18" s="39"/>
      <c r="K18" s="36" t="str">
        <f>IF($J$18&gt;=$AF$21,"対象外",IF($J$18="","",IF(AND($J$18&lt;=$AF$18,$L$18="同居"),"同居老",IF($J$18&lt;=$AF$18,"老",IF($J$18&gt;=$AF$19,IF($J$18&lt;=$AG$19,"特",""),"")))))</f>
        <v/>
      </c>
      <c r="L18" s="35" t="s">
        <v>14</v>
      </c>
      <c r="M18" s="425"/>
      <c r="N18" s="426"/>
      <c r="O18" s="37">
        <f>+$Y$84</f>
        <v>0</v>
      </c>
      <c r="P18" s="328" t="s">
        <v>14</v>
      </c>
      <c r="Q18" s="115" t="str">
        <f>IF($J$18="","",IF($J$18&gt;=$AF$21,"住民税事項へ",IF($O$18&gt;580000,"対象外","対象")))</f>
        <v/>
      </c>
      <c r="R18" s="369">
        <f>IF(K18="特",IF(IF(C18="－","",LOOKUP(C18,$AC$41:$AC$47,$AH$41:$AH$47))=0,IF($C18="－",0,LOOKUP($O18,$AC$60:$AC$70,$AE$60:$AE$70)),IF($C18="－",0,LOOKUP($O18,$AC$60:$AC$70,$AF$60:$AF$70))),0)</f>
        <v>0</v>
      </c>
      <c r="T18" s="428"/>
      <c r="U18" s="12">
        <v>9</v>
      </c>
      <c r="V18" s="22"/>
      <c r="W18" s="265"/>
      <c r="X18" s="265"/>
      <c r="Y18" s="265"/>
      <c r="Z18" s="67"/>
      <c r="AA18" s="19" t="s">
        <v>174</v>
      </c>
      <c r="AB18" s="302" t="s">
        <v>12</v>
      </c>
      <c r="AC18" s="13">
        <f>IF($Q$17="対象",COUNTIF($K$17,"同居老"),0)+IF($Q$18="対象",COUNTIF($K$18,"同居老"),0)+IF($Q$19="対象",COUNTIF($K$19,"同居老"),0)+IF($Q$20="対象",COUNTIF($K$20,"同居老"),0)+IF($Q$61="対象",COUNTIF($K$61,"同居老"),0)+IF($Q$62="対象",COUNTIF($K$62,"同居老"),0)+IF($Q$63="対象",COUNTIF($K$63,"同居老"),0)</f>
        <v>0</v>
      </c>
      <c r="AD18" s="82">
        <v>200000</v>
      </c>
      <c r="AE18" s="14">
        <f>AD18*AC18</f>
        <v>0</v>
      </c>
      <c r="AF18" s="307">
        <v>20455</v>
      </c>
      <c r="AG18" s="26"/>
      <c r="AH18" s="26"/>
      <c r="AK18" s="304" t="s">
        <v>88</v>
      </c>
      <c r="AL18" s="40" t="s">
        <v>21</v>
      </c>
      <c r="AM18" s="18"/>
      <c r="AN18" s="2"/>
      <c r="AO18" s="2">
        <f>LOOKUP(AO16,$AK$11:$AK$15,$AL$11:$AL$15)</f>
        <v>1</v>
      </c>
      <c r="AP18" s="2">
        <f>LOOKUP(AO16,$AK$11:$AK$15,$AM$11:$AM$15)</f>
        <v>0</v>
      </c>
      <c r="AQ18" s="2">
        <f>ROUNDDOWN((AO16-AP18)/AO18,0)</f>
        <v>0</v>
      </c>
      <c r="AR18" s="2">
        <f>AQ18*AO18-AO16+AP18</f>
        <v>0</v>
      </c>
      <c r="AS18" s="19"/>
    </row>
    <row r="19" spans="2:47" ht="12.75" customHeight="1">
      <c r="B19" s="457"/>
      <c r="C19" s="269" t="s">
        <v>166</v>
      </c>
      <c r="D19" s="34"/>
      <c r="E19" s="20"/>
      <c r="F19" s="34"/>
      <c r="G19" s="20"/>
      <c r="H19" s="279"/>
      <c r="I19" s="35" t="s">
        <v>14</v>
      </c>
      <c r="J19" s="39"/>
      <c r="K19" s="36" t="str">
        <f>IF($J$19&gt;=$AF$21,"対象外",IF($J$19="","",IF(AND($J$19&lt;=$AF$18,$L$19="同居"),"同居老",IF($J$19&lt;=$AF$18,"老",IF($J$19&gt;=$AF$19,IF($J$19&lt;=$AG$19,"特",""),"")))))</f>
        <v/>
      </c>
      <c r="L19" s="35" t="s">
        <v>14</v>
      </c>
      <c r="M19" s="425"/>
      <c r="N19" s="426"/>
      <c r="O19" s="37">
        <f>+$Y$90</f>
        <v>0</v>
      </c>
      <c r="P19" s="328" t="s">
        <v>14</v>
      </c>
      <c r="Q19" s="115" t="str">
        <f>IF($J$19="","",IF($J$19&gt;=$AF$21,"住民税事項へ",IF($O$19&gt;580000,"対象外","対象")))</f>
        <v/>
      </c>
      <c r="R19" s="369">
        <f>IF(K19="特",IF(IF(C19="－","",LOOKUP(C19,$AC$41:$AC$47,$AH$41:$AH$47))=0,IF($C19="－",0,LOOKUP($O19,$AC$60:$AC$70,$AE$60:$AE$70)),IF($C19="－",0,LOOKUP($O19,$AC$60:$AC$70,$AF$60:$AF$70))),0)</f>
        <v>0</v>
      </c>
      <c r="T19" s="428"/>
      <c r="U19" s="12">
        <v>10</v>
      </c>
      <c r="V19" s="22"/>
      <c r="W19" s="265"/>
      <c r="X19" s="265"/>
      <c r="Y19" s="265"/>
      <c r="Z19" s="67"/>
      <c r="AA19" s="19" t="s">
        <v>175</v>
      </c>
      <c r="AB19" s="302" t="s">
        <v>379</v>
      </c>
      <c r="AC19" s="143">
        <f>IF($Q$17="対象",COUNTIF($K$17,"特"),0)+IF($Q$18="対象",COUNTIF($K$18,"特"),0)+IF($Q$19="対象",COUNTIF($K$19,"特"),0)+IF($Q$20="対象",COUNTIF($K$20,"特"),0)+IF($Q$61="対象",COUNTIF($K$61,"特"),0)+IF($Q$62="対象",COUNTIF($K$62,"特"),0)+IF($Q$63="対象",COUNTIF($K$63,"特"),0)</f>
        <v>0</v>
      </c>
      <c r="AD19" s="82">
        <v>250000</v>
      </c>
      <c r="AE19" s="14">
        <f>AD19*AC19</f>
        <v>0</v>
      </c>
      <c r="AF19" s="307">
        <v>37623</v>
      </c>
      <c r="AG19" s="307">
        <v>39083</v>
      </c>
      <c r="AH19" s="26"/>
      <c r="AK19" s="337">
        <v>0</v>
      </c>
      <c r="AL19" s="341">
        <v>1</v>
      </c>
      <c r="AM19" s="337">
        <v>0</v>
      </c>
      <c r="AN19" s="2"/>
      <c r="AO19" s="4" t="s">
        <v>13</v>
      </c>
      <c r="AP19" s="33">
        <f>AO16+AR18</f>
        <v>0</v>
      </c>
      <c r="AS19" s="19"/>
    </row>
    <row r="20" spans="2:47" ht="12.75" customHeight="1">
      <c r="B20" s="334">
        <f>+AF21-1</f>
        <v>40179</v>
      </c>
      <c r="C20" s="269" t="s">
        <v>278</v>
      </c>
      <c r="D20" s="34"/>
      <c r="E20" s="20"/>
      <c r="F20" s="34"/>
      <c r="G20" s="20"/>
      <c r="H20" s="279"/>
      <c r="I20" s="35" t="s">
        <v>14</v>
      </c>
      <c r="J20" s="39"/>
      <c r="K20" s="36" t="str">
        <f>IF($J$20&gt;=$AF$21,"対象外",IF($J$20="","",IF(AND($J$20&lt;=$AF$18,$L$20="同居"),"同居老",IF($J$20&lt;=$AF$18,"老",IF($J$20&gt;=$AF$19,IF($J$20&lt;=$AG$19,"特",""),"")))))</f>
        <v/>
      </c>
      <c r="L20" s="35" t="s">
        <v>14</v>
      </c>
      <c r="M20" s="425"/>
      <c r="N20" s="426"/>
      <c r="O20" s="37">
        <f>+$Y$96</f>
        <v>0</v>
      </c>
      <c r="P20" s="328" t="s">
        <v>14</v>
      </c>
      <c r="Q20" s="115" t="str">
        <f>IF($J$20="","",IF($J$20&gt;=$AF$21,"住民税事項へ",IF($O$20&gt;580000,"対象外","対象")))</f>
        <v/>
      </c>
      <c r="R20" s="369">
        <f>IF(K20="特",IF(IF(C20="－","",LOOKUP(C20,$AC$41:$AC$47,$AH$41:$AH$47))=0,IF($C20="－",0,LOOKUP($O20,$AC$60:$AC$70,$AE$60:$AE$70)),IF($C20="－",0,LOOKUP($O20,$AC$60:$AC$70,$AF$60:$AF$70))),0)</f>
        <v>0</v>
      </c>
      <c r="T20" s="428"/>
      <c r="U20" s="12">
        <v>11</v>
      </c>
      <c r="V20" s="22"/>
      <c r="W20" s="265"/>
      <c r="X20" s="265"/>
      <c r="Y20" s="265"/>
      <c r="Z20" s="67"/>
      <c r="AA20" s="19" t="s">
        <v>176</v>
      </c>
      <c r="AB20" s="302" t="s">
        <v>380</v>
      </c>
      <c r="AC20" s="143">
        <f>IF($Q$17="対象",COUNTIF($K$17,"老"),0)+IF($Q$18="対象",COUNTIF($K$18,"老"),0)+IF($Q$19="対象",COUNTIF($K$19,"老"),0)+IF($Q$20="対象",COUNTIF($K$20,"老"),0)+IF($Q$61="対象",COUNTIF($K$61,"老"),0)+IF($Q$62="対象",COUNTIF($K$62,"老"),0)+IF($Q$63="対象",COUNTIF($K$63,"老"),0)</f>
        <v>0</v>
      </c>
      <c r="AD20" s="82">
        <v>100000</v>
      </c>
      <c r="AE20" s="14">
        <f>AD20*AC20</f>
        <v>0</v>
      </c>
      <c r="AF20" s="26">
        <f>+AF18</f>
        <v>20455</v>
      </c>
      <c r="AH20" s="26"/>
      <c r="AK20" s="337">
        <v>651000</v>
      </c>
      <c r="AL20" s="341">
        <v>1</v>
      </c>
      <c r="AM20" s="337">
        <v>-650000</v>
      </c>
      <c r="AN20" s="2"/>
      <c r="AO20" s="19" t="s">
        <v>17</v>
      </c>
      <c r="AP20" s="4" t="s">
        <v>18</v>
      </c>
      <c r="AQ20" s="4" t="s">
        <v>19</v>
      </c>
      <c r="AS20" s="19"/>
    </row>
    <row r="21" spans="2:47" ht="12.75" customHeight="1">
      <c r="B21" s="142"/>
      <c r="C21" s="84"/>
      <c r="D21" s="84"/>
      <c r="E21" s="84"/>
      <c r="F21" s="84"/>
      <c r="G21" s="84"/>
      <c r="H21" s="84"/>
      <c r="I21" s="8"/>
      <c r="J21" s="84"/>
      <c r="K21" s="84"/>
      <c r="L21" s="84"/>
      <c r="M21" s="84"/>
      <c r="N21" s="84"/>
      <c r="O21" s="84"/>
      <c r="P21" s="84"/>
      <c r="Q21" s="114"/>
      <c r="R21" s="114"/>
      <c r="T21" s="428"/>
      <c r="U21" s="12">
        <v>12</v>
      </c>
      <c r="V21" s="22"/>
      <c r="W21" s="265"/>
      <c r="X21" s="265"/>
      <c r="Y21" s="265"/>
      <c r="Z21" s="67"/>
      <c r="AA21" s="67"/>
      <c r="AB21" s="302" t="s">
        <v>168</v>
      </c>
      <c r="AC21" s="13">
        <f>COUNTIF(K23:K26,"年少")+COUNTIF(K67:K69,"年少")</f>
        <v>0</v>
      </c>
      <c r="AD21" s="48"/>
      <c r="AE21" s="48"/>
      <c r="AF21" s="307">
        <v>40180</v>
      </c>
      <c r="AK21" s="337">
        <v>1900000</v>
      </c>
      <c r="AL21" s="341">
        <v>0.7</v>
      </c>
      <c r="AM21" s="337">
        <v>-80000</v>
      </c>
      <c r="AN21" s="2"/>
      <c r="AO21" s="41">
        <f>LOOKUP(AP19,$AK$19:$AK$29,$AL$19:$AL$29)</f>
        <v>1</v>
      </c>
      <c r="AP21" s="2">
        <f>IF(AP19&lt;$AK$20,-AP19,LOOKUP(AP19,$AK$19:$AK$29,$AM$19:$AM$29))</f>
        <v>0</v>
      </c>
      <c r="AQ21" s="14">
        <f>ROUNDDOWN(AP19*AO21+AP21,0)</f>
        <v>0</v>
      </c>
      <c r="AS21" s="19"/>
      <c r="AT21" s="67"/>
    </row>
    <row r="22" spans="2:47" ht="12.75" customHeight="1" thickBot="1">
      <c r="B22" s="453" t="s">
        <v>296</v>
      </c>
      <c r="C22" s="454"/>
      <c r="D22" s="455" t="s">
        <v>167</v>
      </c>
      <c r="E22" s="444"/>
      <c r="F22" s="430" t="s">
        <v>76</v>
      </c>
      <c r="G22" s="432"/>
      <c r="H22" s="12" t="s">
        <v>236</v>
      </c>
      <c r="I22" s="12" t="s">
        <v>85</v>
      </c>
      <c r="J22" s="21" t="s">
        <v>4</v>
      </c>
      <c r="K22" s="30" t="s">
        <v>168</v>
      </c>
      <c r="L22" s="275" t="s">
        <v>285</v>
      </c>
      <c r="M22" s="443" t="s">
        <v>7</v>
      </c>
      <c r="N22" s="444"/>
      <c r="O22" s="31" t="s">
        <v>145</v>
      </c>
      <c r="P22" s="31" t="s">
        <v>240</v>
      </c>
      <c r="Q22" s="32" t="s">
        <v>86</v>
      </c>
      <c r="R22" s="366"/>
      <c r="T22" s="428"/>
      <c r="U22" s="44"/>
      <c r="V22" s="45"/>
      <c r="W22" s="265"/>
      <c r="X22" s="265"/>
      <c r="Y22" s="265"/>
      <c r="Z22" s="67"/>
      <c r="AA22" s="67"/>
      <c r="AB22" s="365" t="s">
        <v>242</v>
      </c>
      <c r="AC22" s="329">
        <f>IF(AP40+AP42&gt;1,IF(P16="○",1,0),0)+IF(P17&lt;&gt;"－",IF(Q17="対象",1,0),0)+IF(P18&lt;&gt;"－",IF(Q18="対象",1,0),0)+IF(P19&lt;&gt;"－",IF(Q19="対象",1,0),0)+IF(P20&lt;&gt;"－",IF(Q20="対象",1,0),0)+IF(P23&lt;&gt;"－",IF(Q23="対象",1,0),0)+IF(P24&lt;&gt;"－",IF(Q24="対象",1,0),0)+IF(P25&lt;&gt;"－",IF(Q25="対象",1,0),0)+IF(P26&lt;&gt;"－",IF(Q26="対象",1,0),0)+IF(P61&lt;&gt;"－",IF(Q61="対象",1,0),0)+IF(P62&lt;&gt;"－",IF(Q62="対象",1,0),0)+IF(P63&lt;&gt;"－",IF(Q63="対象",1,0),0)+IF(P67&lt;&gt;"－",IF(Q67="対象",1,0),0)+IF(P68&lt;&gt;"－",IF(Q68="対象",1,0),0)+IF(P69&lt;&gt;"－",IF(Q69="対象",1,0),0)</f>
        <v>0</v>
      </c>
      <c r="AD22" s="112"/>
      <c r="AE22" s="113"/>
      <c r="AK22" s="337">
        <v>3600000</v>
      </c>
      <c r="AL22" s="341">
        <v>0.8</v>
      </c>
      <c r="AM22" s="337">
        <v>-440000</v>
      </c>
      <c r="AN22" s="2"/>
      <c r="AS22" s="12" t="s">
        <v>303</v>
      </c>
      <c r="AT22" s="56" t="s">
        <v>308</v>
      </c>
    </row>
    <row r="23" spans="2:47" ht="12.75" customHeight="1" thickBot="1">
      <c r="B23" s="456" t="s">
        <v>271</v>
      </c>
      <c r="C23" s="47" t="s">
        <v>82</v>
      </c>
      <c r="D23" s="34"/>
      <c r="E23" s="20"/>
      <c r="F23" s="34"/>
      <c r="G23" s="20"/>
      <c r="H23" s="279"/>
      <c r="I23" s="35" t="s">
        <v>14</v>
      </c>
      <c r="J23" s="39"/>
      <c r="K23" s="36" t="str">
        <f>IF($J$23="","",IF($J$23&lt;$AF$21,"16歳以上",IF($J$23&gt;=$AF$21,"年少","")))</f>
        <v/>
      </c>
      <c r="L23" s="35" t="s">
        <v>14</v>
      </c>
      <c r="M23" s="425"/>
      <c r="N23" s="426"/>
      <c r="O23" s="265"/>
      <c r="P23" s="328" t="s">
        <v>14</v>
      </c>
      <c r="Q23" s="138" t="str">
        <f>IF($J$23="","",IF($J$23&lt;$AF$21,"控除対象欄へ",IF($O$23&gt;580000,"対象外","対象")))</f>
        <v/>
      </c>
      <c r="R23" s="366"/>
      <c r="T23" s="429"/>
      <c r="U23" s="430" t="s">
        <v>1</v>
      </c>
      <c r="V23" s="432"/>
      <c r="W23" s="267">
        <f>SUM($W$10:$W$22)</f>
        <v>0</v>
      </c>
      <c r="X23" s="267">
        <f>SUM($X$10:$X$22)</f>
        <v>0</v>
      </c>
      <c r="Y23" s="267">
        <f>SUM($Y$10:$Y$22)</f>
        <v>0</v>
      </c>
      <c r="Z23" s="67"/>
      <c r="AA23" s="67"/>
      <c r="AB23" s="450" t="s">
        <v>25</v>
      </c>
      <c r="AC23" s="451"/>
      <c r="AD23" s="452"/>
      <c r="AE23" s="158">
        <f>SUM(AE11:AE20)</f>
        <v>0</v>
      </c>
      <c r="AK23" s="337">
        <v>6600000</v>
      </c>
      <c r="AL23" s="341">
        <v>0.9</v>
      </c>
      <c r="AM23" s="337">
        <v>-1100000</v>
      </c>
      <c r="AN23" s="2"/>
      <c r="AP23" s="67" t="s">
        <v>319</v>
      </c>
      <c r="AQ23" s="19" t="s">
        <v>318</v>
      </c>
      <c r="AS23" s="12" t="s">
        <v>82</v>
      </c>
      <c r="AT23" s="162">
        <f>IF($P$30="A",AR39,(IF($P$30="B",AS39,AT39)))</f>
        <v>160000</v>
      </c>
    </row>
    <row r="24" spans="2:47" ht="12.75" customHeight="1">
      <c r="B24" s="457"/>
      <c r="C24" s="269" t="s">
        <v>165</v>
      </c>
      <c r="D24" s="34"/>
      <c r="E24" s="20"/>
      <c r="F24" s="34"/>
      <c r="G24" s="20"/>
      <c r="H24" s="279"/>
      <c r="I24" s="35" t="s">
        <v>14</v>
      </c>
      <c r="J24" s="39"/>
      <c r="K24" s="36" t="str">
        <f>IF($J$24="","",IF($J$24&lt;$AF$21,"16歳以上",IF($J$24&gt;=$AF$21,"年少","")))</f>
        <v/>
      </c>
      <c r="L24" s="35" t="s">
        <v>14</v>
      </c>
      <c r="M24" s="425"/>
      <c r="N24" s="426"/>
      <c r="O24" s="265"/>
      <c r="P24" s="328" t="s">
        <v>14</v>
      </c>
      <c r="Q24" s="138" t="str">
        <f>IF($J$24="","",IF($J$24&lt;$AF$21,"控除対象欄へ",IF($O$24&gt;580000,"対象外","対象")))</f>
        <v/>
      </c>
      <c r="R24" s="366"/>
      <c r="T24" s="427" t="s">
        <v>92</v>
      </c>
      <c r="U24" s="12" t="s">
        <v>93</v>
      </c>
      <c r="V24" s="22"/>
      <c r="W24" s="265"/>
      <c r="X24" s="265"/>
      <c r="Y24" s="171"/>
      <c r="Z24" s="67"/>
      <c r="AA24" s="67"/>
      <c r="AK24" s="337">
        <v>8500001</v>
      </c>
      <c r="AL24" s="341">
        <v>1</v>
      </c>
      <c r="AM24" s="337">
        <v>-1950000</v>
      </c>
      <c r="AN24" s="2"/>
      <c r="AO24" s="339" t="s">
        <v>442</v>
      </c>
      <c r="AP24" s="337">
        <v>0</v>
      </c>
      <c r="AQ24" s="337">
        <v>950000</v>
      </c>
      <c r="AS24" s="12" t="s">
        <v>165</v>
      </c>
      <c r="AT24" s="162">
        <f>IF($P$30="A",AR40,(IF($P$30="B",AS40,AT40)))</f>
        <v>130000</v>
      </c>
    </row>
    <row r="25" spans="2:47" ht="12.75" customHeight="1">
      <c r="B25" s="457"/>
      <c r="C25" s="269" t="s">
        <v>166</v>
      </c>
      <c r="D25" s="34"/>
      <c r="E25" s="20"/>
      <c r="F25" s="34"/>
      <c r="G25" s="20"/>
      <c r="H25" s="279"/>
      <c r="I25" s="35" t="s">
        <v>14</v>
      </c>
      <c r="J25" s="39"/>
      <c r="K25" s="36" t="str">
        <f>IF($J$25="","",IF($J$25&lt;$AF$21,"16歳以上",IF($J$25&gt;=$AF$21,"年少","")))</f>
        <v/>
      </c>
      <c r="L25" s="35" t="s">
        <v>14</v>
      </c>
      <c r="M25" s="425"/>
      <c r="N25" s="426"/>
      <c r="O25" s="265"/>
      <c r="P25" s="328" t="s">
        <v>14</v>
      </c>
      <c r="Q25" s="138" t="str">
        <f>IF($J$25="","",IF($J$25&lt;$AF$21,"控除対象欄へ",IF($O$25&gt;580000,"対象外","対象")))</f>
        <v/>
      </c>
      <c r="R25" s="366"/>
      <c r="T25" s="428"/>
      <c r="U25" s="12" t="s">
        <v>94</v>
      </c>
      <c r="V25" s="22"/>
      <c r="W25" s="265"/>
      <c r="X25" s="265"/>
      <c r="Y25" s="171"/>
      <c r="Z25" s="67"/>
      <c r="AA25" s="67"/>
      <c r="AB25" s="153" t="s">
        <v>8</v>
      </c>
      <c r="AC25" s="154">
        <f>IF(Q16="対象",COUNTIF(K16,"老"),0)</f>
        <v>0</v>
      </c>
      <c r="AD25" s="155">
        <v>100000</v>
      </c>
      <c r="AE25" s="156">
        <f>AD25*AC25</f>
        <v>0</v>
      </c>
      <c r="AF25" s="26">
        <f>+AF18</f>
        <v>20455</v>
      </c>
      <c r="AK25" s="14"/>
      <c r="AL25" s="42"/>
      <c r="AM25" s="14"/>
      <c r="AN25" s="2"/>
      <c r="AO25" s="339" t="s">
        <v>442</v>
      </c>
      <c r="AP25" s="337">
        <v>1320001</v>
      </c>
      <c r="AQ25" s="337">
        <v>880000</v>
      </c>
      <c r="AS25" s="12" t="s">
        <v>309</v>
      </c>
      <c r="AT25" s="273" t="str">
        <f>IF($K$16="老","①","②")</f>
        <v>②</v>
      </c>
    </row>
    <row r="26" spans="2:47" ht="12.75" customHeight="1">
      <c r="B26" s="333">
        <f>+AF21</f>
        <v>40180</v>
      </c>
      <c r="C26" s="269" t="s">
        <v>278</v>
      </c>
      <c r="D26" s="34"/>
      <c r="E26" s="20"/>
      <c r="F26" s="34"/>
      <c r="G26" s="20"/>
      <c r="H26" s="279"/>
      <c r="I26" s="141" t="s">
        <v>14</v>
      </c>
      <c r="J26" s="39"/>
      <c r="K26" s="36" t="str">
        <f>IF($J$26="","",IF($J$26&lt;$AF$21,"16歳以上",IF($J$26&gt;=$AF$21,"年少","")))</f>
        <v/>
      </c>
      <c r="L26" s="141" t="s">
        <v>14</v>
      </c>
      <c r="M26" s="425"/>
      <c r="N26" s="426"/>
      <c r="O26" s="265"/>
      <c r="P26" s="328" t="s">
        <v>14</v>
      </c>
      <c r="Q26" s="138" t="str">
        <f>IF($J$26="","",IF($J$26&lt;$AF$21,"控除対象欄へ",IF($O$26&gt;580000,"対象外","対象")))</f>
        <v/>
      </c>
      <c r="R26" s="366"/>
      <c r="T26" s="428"/>
      <c r="U26" s="25"/>
      <c r="V26" s="22"/>
      <c r="W26" s="294"/>
      <c r="X26" s="294"/>
      <c r="Y26" s="360"/>
      <c r="Z26" s="67"/>
      <c r="AK26" s="14"/>
      <c r="AL26" s="42"/>
      <c r="AM26" s="14"/>
      <c r="AN26" s="2"/>
      <c r="AO26" s="339" t="s">
        <v>442</v>
      </c>
      <c r="AP26" s="337">
        <v>3360001</v>
      </c>
      <c r="AQ26" s="337">
        <v>680000</v>
      </c>
    </row>
    <row r="27" spans="2:47" ht="12.75" customHeight="1" thickBot="1">
      <c r="Q27" s="114"/>
      <c r="R27" s="366"/>
      <c r="T27" s="428"/>
      <c r="U27" s="25"/>
      <c r="V27" s="277"/>
      <c r="W27" s="294"/>
      <c r="X27" s="294"/>
      <c r="Y27" s="360"/>
      <c r="Z27" s="67"/>
      <c r="AA27" s="67"/>
      <c r="AB27" s="56"/>
      <c r="AC27" s="269" t="s">
        <v>89</v>
      </c>
      <c r="AD27" s="269" t="s">
        <v>90</v>
      </c>
      <c r="AE27" s="269" t="s">
        <v>91</v>
      </c>
      <c r="AK27" s="14"/>
      <c r="AL27" s="42"/>
      <c r="AM27" s="14"/>
      <c r="AN27" s="2"/>
      <c r="AO27" s="340" t="s">
        <v>442</v>
      </c>
      <c r="AP27" s="336">
        <v>4890001</v>
      </c>
      <c r="AQ27" s="336">
        <v>630000</v>
      </c>
      <c r="AS27" s="273" t="str">
        <f>+AT25</f>
        <v>②</v>
      </c>
      <c r="AT27" s="418">
        <v>0</v>
      </c>
    </row>
    <row r="28" spans="2:47" ht="12.75" customHeight="1" thickTop="1" thickBot="1">
      <c r="B28" s="485" t="s">
        <v>368</v>
      </c>
      <c r="C28" s="486" t="s">
        <v>89</v>
      </c>
      <c r="D28" s="32" t="s">
        <v>333</v>
      </c>
      <c r="E28" s="32" t="s">
        <v>334</v>
      </c>
      <c r="G28" s="488" t="s">
        <v>451</v>
      </c>
      <c r="H28" s="488"/>
      <c r="I28" s="488"/>
      <c r="J28" s="488"/>
      <c r="K28" s="488"/>
      <c r="L28" s="488"/>
      <c r="M28" s="488"/>
      <c r="N28" s="488"/>
      <c r="O28" s="488"/>
      <c r="R28" s="366"/>
      <c r="S28" s="43"/>
      <c r="T28" s="429"/>
      <c r="U28" s="430" t="s">
        <v>1</v>
      </c>
      <c r="V28" s="432"/>
      <c r="W28" s="29">
        <f>SUM($W$24:$W$27)</f>
        <v>0</v>
      </c>
      <c r="X28" s="29">
        <f>SUM($X$24:$X$27)</f>
        <v>0</v>
      </c>
      <c r="Y28" s="29">
        <f>SUM($Y$24:$Y$27)</f>
        <v>0</v>
      </c>
      <c r="Z28" s="67"/>
      <c r="AA28" s="67"/>
      <c r="AB28" s="302" t="s">
        <v>15</v>
      </c>
      <c r="AC28" s="175">
        <f>IF(C30="○",1,0)</f>
        <v>0</v>
      </c>
      <c r="AD28" s="176">
        <f>IF(D30="○",1,0)</f>
        <v>0</v>
      </c>
      <c r="AE28" s="175" t="str">
        <f>+E30</f>
        <v>－</v>
      </c>
      <c r="AK28" s="14"/>
      <c r="AL28" s="42"/>
      <c r="AM28" s="14"/>
      <c r="AN28" s="2"/>
      <c r="AO28" s="340" t="s">
        <v>442</v>
      </c>
      <c r="AP28" s="336">
        <v>6550001</v>
      </c>
      <c r="AQ28" s="336">
        <v>580000</v>
      </c>
      <c r="AS28" s="417" t="s">
        <v>166</v>
      </c>
      <c r="AT28" s="420">
        <v>580001</v>
      </c>
      <c r="AU28" s="289"/>
    </row>
    <row r="29" spans="2:47" ht="12.75" customHeight="1" thickTop="1">
      <c r="B29" s="485"/>
      <c r="C29" s="487"/>
      <c r="D29" s="181" t="s">
        <v>90</v>
      </c>
      <c r="E29" s="182" t="s">
        <v>335</v>
      </c>
      <c r="G29" s="488"/>
      <c r="H29" s="488"/>
      <c r="I29" s="488"/>
      <c r="J29" s="488"/>
      <c r="K29" s="488"/>
      <c r="L29" s="488"/>
      <c r="M29" s="488"/>
      <c r="N29" s="488"/>
      <c r="O29" s="488"/>
      <c r="R29" s="366"/>
      <c r="T29" s="430" t="s">
        <v>95</v>
      </c>
      <c r="U29" s="431"/>
      <c r="V29" s="432"/>
      <c r="W29" s="267">
        <f>+$W$23+$W$28</f>
        <v>0</v>
      </c>
      <c r="X29" s="267">
        <f>+$X$23+$X$28</f>
        <v>0</v>
      </c>
      <c r="Y29" s="267">
        <f>+$Y$23+$Y$28</f>
        <v>0</v>
      </c>
      <c r="Z29" s="67"/>
      <c r="AA29" s="67"/>
      <c r="AB29" s="302" t="s">
        <v>133</v>
      </c>
      <c r="AC29" s="175">
        <f>IF(C31="○",1,0)</f>
        <v>0</v>
      </c>
      <c r="AD29" s="176">
        <f t="shared" ref="AD29:AD30" si="0">IF(D31="○",1,0)</f>
        <v>0</v>
      </c>
      <c r="AE29" s="175" t="str">
        <f>+E31</f>
        <v>－</v>
      </c>
      <c r="AK29" s="14"/>
      <c r="AL29" s="42"/>
      <c r="AM29" s="14"/>
      <c r="AN29" s="2"/>
      <c r="AO29" s="340" t="s">
        <v>443</v>
      </c>
      <c r="AP29" s="336">
        <v>9000001</v>
      </c>
      <c r="AQ29" s="336">
        <v>580000</v>
      </c>
      <c r="AS29" s="12" t="s">
        <v>278</v>
      </c>
      <c r="AT29" s="419">
        <v>950001</v>
      </c>
    </row>
    <row r="30" spans="2:47" ht="12.75" customHeight="1">
      <c r="B30" s="332" t="s">
        <v>15</v>
      </c>
      <c r="C30" s="270" t="s">
        <v>14</v>
      </c>
      <c r="D30" s="179" t="s">
        <v>14</v>
      </c>
      <c r="E30" s="180" t="s">
        <v>14</v>
      </c>
      <c r="G30" s="465" t="s">
        <v>331</v>
      </c>
      <c r="H30" s="465"/>
      <c r="I30" s="466" t="s">
        <v>102</v>
      </c>
      <c r="J30" s="466"/>
      <c r="K30" s="466" t="s">
        <v>104</v>
      </c>
      <c r="L30" s="466"/>
      <c r="N30" s="467" t="s">
        <v>302</v>
      </c>
      <c r="O30" s="467"/>
      <c r="P30" s="468" t="str">
        <f>IF(G33="無","",IF($AP$44=0,"",$AP$44))</f>
        <v/>
      </c>
      <c r="Q30" s="469"/>
      <c r="R30" s="366"/>
      <c r="T30" s="430" t="s">
        <v>135</v>
      </c>
      <c r="U30" s="431"/>
      <c r="V30" s="432"/>
      <c r="W30" s="265"/>
      <c r="X30" s="280"/>
      <c r="Y30" s="265"/>
      <c r="Z30" s="67"/>
      <c r="AA30" s="67"/>
      <c r="AB30" s="302" t="s">
        <v>160</v>
      </c>
      <c r="AC30" s="280"/>
      <c r="AD30" s="176">
        <f t="shared" si="0"/>
        <v>0</v>
      </c>
      <c r="AE30" s="175" t="str">
        <f>+E32</f>
        <v>－</v>
      </c>
      <c r="AO30" s="340" t="s">
        <v>444</v>
      </c>
      <c r="AP30" s="336">
        <v>9500001</v>
      </c>
      <c r="AQ30" s="336">
        <v>580000</v>
      </c>
      <c r="AS30" s="12" t="s">
        <v>304</v>
      </c>
      <c r="AT30" s="171">
        <v>1330001</v>
      </c>
    </row>
    <row r="31" spans="2:47" ht="12.75" customHeight="1">
      <c r="B31" s="168" t="s">
        <v>16</v>
      </c>
      <c r="C31" s="177" t="s">
        <v>14</v>
      </c>
      <c r="D31" s="177" t="s">
        <v>14</v>
      </c>
      <c r="E31" s="178" t="s">
        <v>14</v>
      </c>
      <c r="G31" s="435" t="s">
        <v>105</v>
      </c>
      <c r="H31" s="435"/>
      <c r="I31" s="499">
        <f>+IF(G33="無","",$X$33)</f>
        <v>0</v>
      </c>
      <c r="J31" s="499"/>
      <c r="K31" s="499">
        <f>+IF(G33="無","",$X$36)</f>
        <v>0</v>
      </c>
      <c r="L31" s="499"/>
      <c r="N31" s="435" t="s">
        <v>320</v>
      </c>
      <c r="O31" s="435"/>
      <c r="P31" s="500">
        <f>IF(G33="無","",LOOKUP($K$33,$AP$24:$AP$35,$AQ$24:$AQ$35))</f>
        <v>950000</v>
      </c>
      <c r="Q31" s="501"/>
      <c r="R31" s="366"/>
      <c r="AA31" s="67"/>
      <c r="AB31" s="269" t="s">
        <v>22</v>
      </c>
      <c r="AC31" s="175">
        <f>IF(C33="○",1,0)</f>
        <v>0</v>
      </c>
      <c r="AD31" s="303"/>
      <c r="AE31" s="175"/>
      <c r="AO31" s="340" t="s">
        <v>304</v>
      </c>
      <c r="AP31" s="336">
        <v>10000001</v>
      </c>
      <c r="AQ31" s="336">
        <v>580000</v>
      </c>
      <c r="AS31" s="19"/>
      <c r="AT31" s="19"/>
      <c r="AU31" s="19"/>
    </row>
    <row r="32" spans="2:47" ht="12.75" customHeight="1" thickBot="1">
      <c r="B32" s="58" t="s">
        <v>20</v>
      </c>
      <c r="C32" s="105"/>
      <c r="D32" s="177" t="s">
        <v>14</v>
      </c>
      <c r="E32" s="178" t="s">
        <v>14</v>
      </c>
      <c r="G32" s="489" t="s">
        <v>330</v>
      </c>
      <c r="H32" s="489"/>
      <c r="I32" s="490"/>
      <c r="J32" s="490"/>
      <c r="K32" s="491"/>
      <c r="L32" s="492"/>
      <c r="N32" s="493" t="s">
        <v>303</v>
      </c>
      <c r="O32" s="493"/>
      <c r="P32" s="494" t="str">
        <f>IF(G38="無","",IF($AP$45=0,"",$AP$45))</f>
        <v/>
      </c>
      <c r="Q32" s="495"/>
      <c r="R32" s="366"/>
      <c r="T32" s="433"/>
      <c r="U32" s="433"/>
      <c r="V32" s="433"/>
      <c r="W32" s="433"/>
      <c r="X32" s="264" t="s">
        <v>26</v>
      </c>
      <c r="Y32" s="278" t="s">
        <v>27</v>
      </c>
      <c r="AA32" s="67"/>
      <c r="AB32" s="269" t="s">
        <v>313</v>
      </c>
      <c r="AC32" s="175">
        <f>IF(C34="○",1,0)</f>
        <v>0</v>
      </c>
      <c r="AD32" s="303" t="s">
        <v>24</v>
      </c>
      <c r="AE32" s="175">
        <f>IF(C35="○",1,0)</f>
        <v>0</v>
      </c>
      <c r="AO32" s="338"/>
      <c r="AP32" s="336">
        <v>23500001</v>
      </c>
      <c r="AQ32" s="336">
        <v>480000</v>
      </c>
      <c r="AS32" s="19"/>
      <c r="AT32" s="19"/>
      <c r="AU32" s="19"/>
    </row>
    <row r="33" spans="2:47" ht="12.75" customHeight="1" thickBot="1">
      <c r="B33" s="168" t="s">
        <v>22</v>
      </c>
      <c r="C33" s="270" t="s">
        <v>14</v>
      </c>
      <c r="D33" s="502"/>
      <c r="E33" s="503"/>
      <c r="G33" s="186" t="s">
        <v>344</v>
      </c>
      <c r="H33" s="507" t="s">
        <v>374</v>
      </c>
      <c r="I33" s="508"/>
      <c r="J33" s="509"/>
      <c r="K33" s="434">
        <f>IF(G33="無","",IF(SUM($K$31:$L$32)&lt;0,0,SUM($K$31:$L$32)))</f>
        <v>0</v>
      </c>
      <c r="L33" s="434"/>
      <c r="N33" s="458" t="s">
        <v>35</v>
      </c>
      <c r="O33" s="496"/>
      <c r="P33" s="497">
        <f>IF(G38="無","",IF(J16&gt;0,$AP$42,0))</f>
        <v>0</v>
      </c>
      <c r="Q33" s="498"/>
      <c r="R33" s="366"/>
      <c r="S33" s="173" t="s">
        <v>317</v>
      </c>
      <c r="T33" s="442" t="s">
        <v>146</v>
      </c>
      <c r="U33" s="442"/>
      <c r="V33" s="442"/>
      <c r="W33" s="442"/>
      <c r="X33" s="49">
        <f>+W29</f>
        <v>0</v>
      </c>
      <c r="Y33" s="331">
        <f>+Y29</f>
        <v>0</v>
      </c>
      <c r="AB33" s="26" t="s">
        <v>290</v>
      </c>
      <c r="AC33" s="57"/>
      <c r="AD33" s="4"/>
      <c r="AF33" s="4" t="str">
        <f>+AK58</f>
        <v>公的年金65歳以上</v>
      </c>
      <c r="AO33" s="338"/>
      <c r="AP33" s="337">
        <v>24000001</v>
      </c>
      <c r="AQ33" s="337">
        <v>320000</v>
      </c>
      <c r="AS33" s="19"/>
      <c r="AT33" s="19"/>
      <c r="AU33" s="19"/>
    </row>
    <row r="34" spans="2:47" ht="12.75" customHeight="1" thickBot="1">
      <c r="B34" s="168" t="s">
        <v>322</v>
      </c>
      <c r="C34" s="270" t="s">
        <v>14</v>
      </c>
      <c r="D34" s="504"/>
      <c r="E34" s="505"/>
      <c r="N34" s="458" t="s">
        <v>326</v>
      </c>
      <c r="O34" s="496"/>
      <c r="P34" s="497">
        <f>IF(G38="無",0,$AP$40)</f>
        <v>0</v>
      </c>
      <c r="Q34" s="498"/>
      <c r="R34" s="366"/>
      <c r="S34" s="172">
        <v>9</v>
      </c>
      <c r="T34" s="506" t="s">
        <v>213</v>
      </c>
      <c r="U34" s="506"/>
      <c r="V34" s="506"/>
      <c r="W34" s="506"/>
      <c r="X34" s="274">
        <f>IF($X$33=0,0,IF($O$8="甲欄",$AQ$14,0))</f>
        <v>0</v>
      </c>
      <c r="Y34" s="189" t="str">
        <f>IF(OR(O8="乙欄",O8="丙欄",O8="年調対象外"),"年調できません",IF(X33&gt;20000000,"年調できません"," "))</f>
        <v xml:space="preserve"> </v>
      </c>
      <c r="AC34" s="57"/>
      <c r="AD34" s="4"/>
      <c r="AF34" s="307">
        <v>22282</v>
      </c>
      <c r="AO34" s="338"/>
      <c r="AP34" s="337">
        <v>24500001</v>
      </c>
      <c r="AQ34" s="337">
        <v>160000</v>
      </c>
      <c r="AS34" s="19"/>
      <c r="AT34" s="19"/>
      <c r="AU34" s="19"/>
    </row>
    <row r="35" spans="2:47" ht="12.75" customHeight="1" thickBot="1">
      <c r="B35" s="168" t="s">
        <v>196</v>
      </c>
      <c r="C35" s="270" t="s">
        <v>14</v>
      </c>
      <c r="D35" s="467"/>
      <c r="E35" s="467"/>
      <c r="G35" s="465" t="s">
        <v>332</v>
      </c>
      <c r="H35" s="465"/>
      <c r="I35" s="466" t="s">
        <v>102</v>
      </c>
      <c r="J35" s="466"/>
      <c r="K35" s="466" t="s">
        <v>104</v>
      </c>
      <c r="L35" s="466"/>
      <c r="P35" s="67" t="s">
        <v>370</v>
      </c>
      <c r="Q35" s="186" t="s">
        <v>344</v>
      </c>
      <c r="R35" s="366"/>
      <c r="S35" s="172">
        <v>10</v>
      </c>
      <c r="T35" s="445" t="s">
        <v>314</v>
      </c>
      <c r="U35" s="513"/>
      <c r="V35" s="513"/>
      <c r="W35" s="518"/>
      <c r="X35" s="188" t="str">
        <f>IF($Y$35="←適用有",MAX(0,MIN(150000,ROUNDUP(($X$33-8500000)*10%,0))),"")</f>
        <v/>
      </c>
      <c r="Y35" s="190" t="str">
        <f>IF(AD48="該当","←適用有",IF(AD49="該当","←適用有",""))</f>
        <v/>
      </c>
      <c r="AC35" s="52" t="e">
        <f>LOOKUP(O12,AD35:AD38,AE35:AE38)</f>
        <v>#N/A</v>
      </c>
      <c r="AD35" s="56">
        <v>1</v>
      </c>
      <c r="AE35" s="53">
        <v>1</v>
      </c>
      <c r="AF35" s="4" t="s">
        <v>147</v>
      </c>
      <c r="AO35" s="338"/>
      <c r="AP35" s="337">
        <v>25000001</v>
      </c>
      <c r="AQ35" s="337">
        <v>0</v>
      </c>
      <c r="AS35" s="19"/>
      <c r="AT35" s="19"/>
      <c r="AU35" s="19"/>
    </row>
    <row r="36" spans="2:47" ht="12.75" customHeight="1">
      <c r="B36" s="168" t="s">
        <v>28</v>
      </c>
      <c r="C36" s="270" t="s">
        <v>14</v>
      </c>
      <c r="D36" s="269" t="s">
        <v>32</v>
      </c>
      <c r="E36" s="270" t="s">
        <v>14</v>
      </c>
      <c r="G36" s="435" t="s">
        <v>105</v>
      </c>
      <c r="H36" s="435"/>
      <c r="I36" s="517"/>
      <c r="J36" s="517"/>
      <c r="K36" s="499">
        <f>IF($I$36="",0,$AQ$21)</f>
        <v>0</v>
      </c>
      <c r="L36" s="499"/>
      <c r="R36" s="366"/>
      <c r="S36" s="172">
        <v>11</v>
      </c>
      <c r="T36" s="524" t="s">
        <v>315</v>
      </c>
      <c r="U36" s="525"/>
      <c r="V36" s="525"/>
      <c r="W36" s="526"/>
      <c r="X36" s="274">
        <f>+IF(X35="",X34,X34-X35)</f>
        <v>0</v>
      </c>
      <c r="Y36" s="191"/>
      <c r="AC36" s="54">
        <v>4595</v>
      </c>
      <c r="AD36" s="55">
        <v>4595</v>
      </c>
      <c r="AE36" s="53">
        <v>2</v>
      </c>
      <c r="AF36" s="4" t="s">
        <v>136</v>
      </c>
      <c r="AP36" s="335"/>
      <c r="AQ36" s="159"/>
      <c r="AS36" s="19"/>
      <c r="AT36" s="19"/>
      <c r="AU36" s="19"/>
    </row>
    <row r="37" spans="2:47" ht="12.75" customHeight="1" thickBot="1">
      <c r="B37" s="168" t="s">
        <v>29</v>
      </c>
      <c r="C37" s="270" t="s">
        <v>14</v>
      </c>
      <c r="D37" s="269" t="s">
        <v>33</v>
      </c>
      <c r="E37" s="270" t="s">
        <v>14</v>
      </c>
      <c r="G37" s="519" t="s">
        <v>330</v>
      </c>
      <c r="H37" s="520"/>
      <c r="I37" s="521" t="s">
        <v>358</v>
      </c>
      <c r="J37" s="521"/>
      <c r="K37" s="522">
        <f>SUM($Y$62:$Y$70)</f>
        <v>0</v>
      </c>
      <c r="L37" s="523"/>
      <c r="N37" s="435" t="s">
        <v>325</v>
      </c>
      <c r="O37" s="435"/>
      <c r="P37" s="435"/>
      <c r="Q37" s="273" t="str">
        <f>IF($Q$35="有",IF(SUM($AC$29)&gt;=1,"✔",""),"")</f>
        <v/>
      </c>
      <c r="R37" s="366"/>
      <c r="S37" s="172">
        <v>12</v>
      </c>
      <c r="T37" s="436" t="s">
        <v>99</v>
      </c>
      <c r="U37" s="437"/>
      <c r="V37" s="440" t="s">
        <v>100</v>
      </c>
      <c r="W37" s="440"/>
      <c r="X37" s="51">
        <f>+$X$29</f>
        <v>0</v>
      </c>
      <c r="Y37" s="192"/>
      <c r="AC37" s="54">
        <v>9856</v>
      </c>
      <c r="AD37" s="55">
        <v>9856</v>
      </c>
      <c r="AE37" s="53">
        <v>3</v>
      </c>
      <c r="AF37" s="2" t="s">
        <v>148</v>
      </c>
      <c r="AK37" s="2"/>
      <c r="AL37" s="41"/>
      <c r="AM37" s="2"/>
      <c r="AN37" s="2"/>
      <c r="AQ37" s="152"/>
    </row>
    <row r="38" spans="2:47" ht="12.75" customHeight="1" thickBot="1">
      <c r="G38" s="186" t="s">
        <v>344</v>
      </c>
      <c r="H38" s="527" t="s">
        <v>371</v>
      </c>
      <c r="I38" s="528"/>
      <c r="J38" s="529"/>
      <c r="K38" s="434">
        <f>IF(G38="無","",IF(SUM($K$36:$L$37)&lt;0,0,SUM($K$36:$L$37)))</f>
        <v>0</v>
      </c>
      <c r="L38" s="434"/>
      <c r="M38" s="579" t="s">
        <v>450</v>
      </c>
      <c r="N38" s="441" t="s">
        <v>324</v>
      </c>
      <c r="O38" s="441"/>
      <c r="P38" s="441"/>
      <c r="Q38" s="273" t="str">
        <f>IF($Q$35="有",IF(SUM($AD$29:$AD$30)&gt;=1,"✔",""),"")</f>
        <v/>
      </c>
      <c r="R38" s="366"/>
      <c r="S38" s="172">
        <v>13</v>
      </c>
      <c r="T38" s="436"/>
      <c r="U38" s="437"/>
      <c r="V38" s="442" t="s">
        <v>101</v>
      </c>
      <c r="W38" s="442"/>
      <c r="X38" s="274">
        <f>+$P$53+$P$54</f>
        <v>0</v>
      </c>
      <c r="Y38" s="169"/>
      <c r="AC38" s="54">
        <v>32516</v>
      </c>
      <c r="AD38" s="55">
        <v>32516</v>
      </c>
      <c r="AE38" s="56">
        <v>4</v>
      </c>
      <c r="AF38" s="4" t="s">
        <v>106</v>
      </c>
      <c r="AK38" s="16" t="s">
        <v>30</v>
      </c>
      <c r="AL38" s="17"/>
      <c r="AM38" s="18"/>
      <c r="AN38" s="2"/>
      <c r="AO38" s="4" t="s">
        <v>31</v>
      </c>
      <c r="AP38" s="50">
        <f>K38</f>
        <v>0</v>
      </c>
      <c r="AR38" s="19" t="s">
        <v>300</v>
      </c>
      <c r="AS38" s="19" t="s">
        <v>301</v>
      </c>
      <c r="AT38" s="19" t="s">
        <v>292</v>
      </c>
    </row>
    <row r="39" spans="2:47" ht="12.75" customHeight="1">
      <c r="B39" s="4" t="s">
        <v>245</v>
      </c>
      <c r="G39" s="80"/>
      <c r="M39" s="579"/>
      <c r="N39" s="435" t="s">
        <v>323</v>
      </c>
      <c r="O39" s="435"/>
      <c r="P39" s="435"/>
      <c r="Q39" s="273" t="str">
        <f>IF($Q$35="有",IF(SUM($AE$29:$AE$30)&gt;=1,"✔",""),"")</f>
        <v/>
      </c>
      <c r="R39" s="366"/>
      <c r="S39" s="172">
        <v>14</v>
      </c>
      <c r="T39" s="438"/>
      <c r="U39" s="439"/>
      <c r="V39" s="442" t="s">
        <v>170</v>
      </c>
      <c r="W39" s="442"/>
      <c r="X39" s="274">
        <f>$P$55</f>
        <v>0</v>
      </c>
      <c r="Y39" s="169"/>
      <c r="AC39" s="57"/>
      <c r="AD39" s="4" t="s">
        <v>361</v>
      </c>
      <c r="AE39" s="4" t="s">
        <v>362</v>
      </c>
      <c r="AF39" s="4" t="s">
        <v>449</v>
      </c>
      <c r="AG39" s="4" t="s">
        <v>448</v>
      </c>
      <c r="AH39" s="4" t="s">
        <v>469</v>
      </c>
      <c r="AK39" s="12" t="s">
        <v>307</v>
      </c>
      <c r="AL39" s="24"/>
      <c r="AM39" s="304" t="s">
        <v>18</v>
      </c>
      <c r="AN39" s="2"/>
      <c r="AP39" s="33"/>
      <c r="AQ39" s="67" t="s">
        <v>82</v>
      </c>
      <c r="AR39" s="159">
        <v>480000</v>
      </c>
      <c r="AS39" s="159">
        <v>320000</v>
      </c>
      <c r="AT39" s="159">
        <v>160000</v>
      </c>
    </row>
    <row r="40" spans="2:47" ht="12.75" customHeight="1">
      <c r="B40" s="514" t="s">
        <v>248</v>
      </c>
      <c r="C40" s="538"/>
      <c r="D40" s="538"/>
      <c r="E40" s="538"/>
      <c r="G40" s="139" t="s">
        <v>476</v>
      </c>
      <c r="M40" s="361"/>
      <c r="N40" s="530">
        <f>AF19</f>
        <v>37623</v>
      </c>
      <c r="O40" s="530"/>
      <c r="P40" s="530"/>
      <c r="Q40" s="273" t="str">
        <f>IF($Q$35="有",IF(SUM($AD$41:$AE$47)+IF(Q76="対象",1,0)&gt;=1,"✔",""),"")</f>
        <v/>
      </c>
      <c r="R40" s="366"/>
      <c r="S40" s="172">
        <v>15</v>
      </c>
      <c r="T40" s="442" t="s">
        <v>34</v>
      </c>
      <c r="U40" s="442"/>
      <c r="V40" s="442"/>
      <c r="W40" s="442"/>
      <c r="X40" s="274">
        <f>$AR$74</f>
        <v>0</v>
      </c>
      <c r="Y40" s="169"/>
      <c r="AA40" s="146" t="s">
        <v>282</v>
      </c>
      <c r="AB40" s="147"/>
      <c r="AC40" s="183" t="s">
        <v>343</v>
      </c>
      <c r="AD40" s="184">
        <f>+AF19</f>
        <v>37623</v>
      </c>
      <c r="AE40" s="184">
        <f>+AD40</f>
        <v>37623</v>
      </c>
      <c r="AK40" s="14">
        <v>0</v>
      </c>
      <c r="AL40" s="42"/>
      <c r="AM40" s="161">
        <f>+AM41</f>
        <v>0</v>
      </c>
      <c r="AN40" s="2"/>
      <c r="AO40" s="2" t="s">
        <v>30</v>
      </c>
      <c r="AP40" s="14">
        <f>IF(E16="",0,IF(AP38="",0,IF(AP42&gt;0,0,LOOKUP(AP38,AK40:AK50,AM40:AM50))))</f>
        <v>0</v>
      </c>
      <c r="AQ40" s="160" t="s">
        <v>165</v>
      </c>
      <c r="AR40" s="157">
        <v>380000</v>
      </c>
      <c r="AS40" s="157">
        <v>260000</v>
      </c>
      <c r="AT40" s="157">
        <v>130000</v>
      </c>
    </row>
    <row r="41" spans="2:47" ht="12.75" customHeight="1" thickBot="1">
      <c r="B41" s="514"/>
      <c r="C41" s="538"/>
      <c r="D41" s="538"/>
      <c r="E41" s="538"/>
      <c r="G41" s="344"/>
      <c r="H41" s="342" t="s">
        <v>452</v>
      </c>
      <c r="I41" s="537" t="s">
        <v>31</v>
      </c>
      <c r="J41" s="537"/>
      <c r="K41" s="576" t="s">
        <v>447</v>
      </c>
      <c r="L41" s="576"/>
      <c r="R41" s="366"/>
      <c r="S41" s="172">
        <v>16</v>
      </c>
      <c r="T41" s="442" t="s">
        <v>151</v>
      </c>
      <c r="U41" s="442"/>
      <c r="V41" s="442"/>
      <c r="W41" s="442"/>
      <c r="X41" s="274">
        <f>$AR$81</f>
        <v>0</v>
      </c>
      <c r="Y41" s="169"/>
      <c r="AA41" s="148">
        <f>IF(OR(R61&gt;0,Q61="対象"),1,0)</f>
        <v>0</v>
      </c>
      <c r="AB41" s="4" t="str">
        <f>IF(OR(R61&gt;0,Q61="対象"),"("&amp;AA41&amp;")"&amp;D61&amp;E61&amp;IF(P61="－",IF(MAX(R61)&lt;10,"","("&amp;MAX(R61)&amp;")"),"("&amp;IF(MAX(P61,R61)&lt;10,"0"&amp;MAX(P61,R61),MAX(P61,R61))&amp;")"),"")</f>
        <v/>
      </c>
      <c r="AC41" s="185" t="s">
        <v>336</v>
      </c>
      <c r="AD41" s="183">
        <f>IF(J17&gt;=$AD$40,IF(Q17="対象",1,0),0)</f>
        <v>0</v>
      </c>
      <c r="AE41" s="183">
        <f>IF(J23&gt;=$AD$40,IF(Q23="対象",1,0),0)</f>
        <v>0</v>
      </c>
      <c r="AF41" s="4">
        <f>IF(J17&gt;=$AD$40,IF(Q17="対象外",1,0),0)</f>
        <v>0</v>
      </c>
      <c r="AG41" s="4" t="str">
        <f t="shared" ref="AG41:AG43" si="1">IF(AF41=1,D17&amp;E17,"")</f>
        <v/>
      </c>
      <c r="AH41" s="4">
        <f>IF(P17="－",0,1)</f>
        <v>0</v>
      </c>
      <c r="AI41" s="4">
        <f t="shared" ref="AI41:AI43" si="2">IF(AF41=1,O17,0)</f>
        <v>0</v>
      </c>
      <c r="AK41" s="171">
        <v>580001</v>
      </c>
      <c r="AL41" s="42"/>
      <c r="AM41" s="161">
        <f t="shared" ref="AM41:AM50" si="3">IF($AP$44="A",AR41,(IF($AP$44="B",AS41,IF($AP$44="C",AT41,0))))</f>
        <v>0</v>
      </c>
      <c r="AN41" s="2"/>
      <c r="AQ41" s="174">
        <v>580001</v>
      </c>
      <c r="AR41" s="2">
        <v>380000</v>
      </c>
      <c r="AS41" s="2">
        <v>260000</v>
      </c>
      <c r="AT41" s="2">
        <v>130000</v>
      </c>
    </row>
    <row r="42" spans="2:47" ht="12.75" customHeight="1" thickBot="1">
      <c r="B42" s="514"/>
      <c r="C42" s="538"/>
      <c r="D42" s="538"/>
      <c r="E42" s="538"/>
      <c r="G42" s="343" t="s">
        <v>14</v>
      </c>
      <c r="H42" s="362" t="str">
        <f>IF(G42="－","",_xlfn.XLOOKUP(G42,$AC$41:$AC$47,$AG$41:$AG$47))</f>
        <v/>
      </c>
      <c r="I42" s="515" t="str">
        <f>IF(G42="－","",_xlfn.XLOOKUP(G42,$AC$41:$AC$47,$AI$41:$AI$47))</f>
        <v/>
      </c>
      <c r="J42" s="516"/>
      <c r="K42" s="533">
        <f>IF($G42="－",0,LOOKUP($I42,$AC$60:$AC$70,$AD$60:$AD$70))</f>
        <v>0</v>
      </c>
      <c r="L42" s="533"/>
      <c r="S42" s="172">
        <v>17</v>
      </c>
      <c r="T42" s="531" t="s">
        <v>306</v>
      </c>
      <c r="U42" s="451"/>
      <c r="V42" s="451"/>
      <c r="W42" s="532"/>
      <c r="X42" s="164">
        <f>IF(G38="無","",IF(10000000&gt;=$K$33,$P$34+$P$33,0))</f>
        <v>0</v>
      </c>
      <c r="Y42" s="169"/>
      <c r="AA42" s="148">
        <f>IF(OR(R62&gt;0,Q62="対象"),AA41+1,AA41)</f>
        <v>0</v>
      </c>
      <c r="AB42" s="4" t="str">
        <f t="shared" ref="AB42:AB43" si="4">IF(OR(R62&gt;0,Q62="対象"),"("&amp;AA42&amp;")"&amp;D62&amp;E62&amp;IF(P62="－",IF(MAX(R62)&lt;10,"","("&amp;MAX(R62)&amp;")"),"("&amp;IF(MAX(P62,R62)&lt;10,"0"&amp;MAX(P62,R62),MAX(P62,R62))&amp;")"),"")</f>
        <v/>
      </c>
      <c r="AC42" s="185" t="s">
        <v>337</v>
      </c>
      <c r="AD42" s="183">
        <f>IF(J18&gt;=$AD$40,IF(Q18="対象",1,0),0)</f>
        <v>0</v>
      </c>
      <c r="AE42" s="183">
        <f>IF(J24&gt;=$AD$40,IF(Q24="対象",1,0),0)</f>
        <v>0</v>
      </c>
      <c r="AF42" s="4">
        <f t="shared" ref="AF42:AF44" si="5">IF(J18&gt;=$AD$40,IF(Q18="対象外",1,0),0)</f>
        <v>0</v>
      </c>
      <c r="AG42" s="4" t="str">
        <f t="shared" si="1"/>
        <v/>
      </c>
      <c r="AH42" s="4">
        <f t="shared" ref="AH42:AH44" si="6">IF(P18="－",0,1)</f>
        <v>0</v>
      </c>
      <c r="AI42" s="4">
        <f t="shared" si="2"/>
        <v>0</v>
      </c>
      <c r="AK42" s="171">
        <v>950001</v>
      </c>
      <c r="AL42" s="42"/>
      <c r="AM42" s="161">
        <f t="shared" si="3"/>
        <v>0</v>
      </c>
      <c r="AN42" s="2"/>
      <c r="AO42" s="2" t="s">
        <v>35</v>
      </c>
      <c r="AP42" s="14">
        <f>IF(E16="",0,IF(AP44="対象外",0,IF(AP45="①",AT23,IF(AP45="②",AT24,0))))</f>
        <v>0</v>
      </c>
      <c r="AQ42" s="174">
        <v>950001</v>
      </c>
      <c r="AR42" s="2">
        <v>360000</v>
      </c>
      <c r="AS42" s="2">
        <v>240000</v>
      </c>
      <c r="AT42" s="2">
        <v>120000</v>
      </c>
    </row>
    <row r="43" spans="2:47" ht="12.75" customHeight="1" thickBot="1">
      <c r="B43" s="512" t="s">
        <v>244</v>
      </c>
      <c r="C43" s="538"/>
      <c r="D43" s="538"/>
      <c r="E43" s="538"/>
      <c r="G43" s="343" t="s">
        <v>14</v>
      </c>
      <c r="H43" s="362" t="str">
        <f t="shared" ref="H43:H44" si="7">IF(G43="－","",_xlfn.XLOOKUP(G43,$AC$41:$AC$47,$AG$41:$AG$47))</f>
        <v/>
      </c>
      <c r="I43" s="515" t="str">
        <f t="shared" ref="I43" si="8">IF(G43="－","",_xlfn.XLOOKUP(G43,$AC$41:$AC$47,$AI$41:$AI$47))</f>
        <v/>
      </c>
      <c r="J43" s="516"/>
      <c r="K43" s="533">
        <f>IF($G43="－",0,LOOKUP($I43,$AC$60:$AC$70,$AD$60:$AD$70))</f>
        <v>0</v>
      </c>
      <c r="L43" s="533"/>
      <c r="S43" s="67" t="s">
        <v>480</v>
      </c>
      <c r="T43" s="442" t="s">
        <v>454</v>
      </c>
      <c r="U43" s="442"/>
      <c r="V43" s="442"/>
      <c r="W43" s="442"/>
      <c r="X43" s="274">
        <f>$AH$70</f>
        <v>0</v>
      </c>
      <c r="Y43" s="169"/>
      <c r="AA43" s="148">
        <f>IF(OR(R63&gt;0,Q63="対象"),AA42+1,AA42)</f>
        <v>0</v>
      </c>
      <c r="AB43" s="4" t="str">
        <f t="shared" si="4"/>
        <v/>
      </c>
      <c r="AC43" s="185" t="s">
        <v>338</v>
      </c>
      <c r="AD43" s="183">
        <f>IF(J19&gt;=$AD$40,IF(Q19="対象",1,0),0)</f>
        <v>0</v>
      </c>
      <c r="AE43" s="183">
        <f>IF(J25&gt;=$AD$40,IF(Q25="対象",1,0),0)</f>
        <v>0</v>
      </c>
      <c r="AF43" s="4">
        <f t="shared" si="5"/>
        <v>0</v>
      </c>
      <c r="AG43" s="4" t="str">
        <f t="shared" si="1"/>
        <v/>
      </c>
      <c r="AH43" s="4">
        <f t="shared" si="6"/>
        <v>0</v>
      </c>
      <c r="AI43" s="4">
        <f t="shared" si="2"/>
        <v>0</v>
      </c>
      <c r="AK43" s="171">
        <v>1000001</v>
      </c>
      <c r="AL43" s="42"/>
      <c r="AM43" s="161">
        <f t="shared" si="3"/>
        <v>0</v>
      </c>
      <c r="AN43" s="2"/>
      <c r="AQ43" s="174">
        <v>1000001</v>
      </c>
      <c r="AR43" s="2">
        <v>310000</v>
      </c>
      <c r="AS43" s="2">
        <v>210000</v>
      </c>
      <c r="AT43" s="2">
        <v>110000</v>
      </c>
    </row>
    <row r="44" spans="2:47" ht="12.75" customHeight="1" thickBot="1">
      <c r="B44" s="512"/>
      <c r="C44" s="538"/>
      <c r="D44" s="538"/>
      <c r="E44" s="538"/>
      <c r="G44" s="343" t="s">
        <v>14</v>
      </c>
      <c r="H44" s="362" t="str">
        <f t="shared" si="7"/>
        <v/>
      </c>
      <c r="I44" s="515" t="str">
        <f t="shared" ref="I44" si="9">IF(G44="－","",_xlfn.XLOOKUP(G44,$AC$41:$AC$47,$AI$41:$AI$47))</f>
        <v/>
      </c>
      <c r="J44" s="516"/>
      <c r="K44" s="533">
        <f>IF($G44="－",0,LOOKUP($I44,$AC$60:$AC$70,$AD$60:$AD$70))</f>
        <v>0</v>
      </c>
      <c r="L44" s="533"/>
      <c r="S44" s="172">
        <v>18</v>
      </c>
      <c r="T44" s="442" t="s">
        <v>36</v>
      </c>
      <c r="U44" s="442"/>
      <c r="V44" s="442"/>
      <c r="W44" s="442"/>
      <c r="X44" s="274">
        <f>$AE$9</f>
        <v>0</v>
      </c>
      <c r="Y44" s="169"/>
      <c r="AA44" s="148">
        <f>IF(E67="",AA43,AA43+1)</f>
        <v>0</v>
      </c>
      <c r="AB44" s="4" t="str">
        <f>IF(E67="","","("&amp;AA44&amp;")"&amp;D67&amp;E67&amp;"(年少)"&amp;IF(P67="－","","("&amp;"0"&amp;P67&amp;")"))</f>
        <v/>
      </c>
      <c r="AC44" s="185" t="s">
        <v>339</v>
      </c>
      <c r="AD44" s="183">
        <f>IF(J20&gt;=$AD$40,IF(Q20="対象",1,0),0)</f>
        <v>0</v>
      </c>
      <c r="AE44" s="183">
        <f>IF(J26&gt;=$AD$40,IF(Q26="対象",1,0),0)</f>
        <v>0</v>
      </c>
      <c r="AF44" s="4">
        <f t="shared" si="5"/>
        <v>0</v>
      </c>
      <c r="AG44" s="4" t="str">
        <f>IF(AF44=1,D20&amp;E20,"")</f>
        <v/>
      </c>
      <c r="AH44" s="4">
        <f t="shared" si="6"/>
        <v>0</v>
      </c>
      <c r="AI44" s="4">
        <f>IF(AF44=1,O20,0)</f>
        <v>0</v>
      </c>
      <c r="AK44" s="171">
        <v>1050001</v>
      </c>
      <c r="AL44" s="42"/>
      <c r="AM44" s="161">
        <f t="shared" si="3"/>
        <v>0</v>
      </c>
      <c r="AN44" s="2"/>
      <c r="AO44" s="12" t="s">
        <v>302</v>
      </c>
      <c r="AP44" s="273">
        <f>IF($E$16="",0,IF(G33="無","",IF(G38="無","",LOOKUP($K$33,$AP$24:$AP$31,$AO$24:$AO$31))))</f>
        <v>0</v>
      </c>
      <c r="AQ44" s="174">
        <v>1050001</v>
      </c>
      <c r="AR44" s="2">
        <v>260000</v>
      </c>
      <c r="AS44" s="2">
        <v>180000</v>
      </c>
      <c r="AT44" s="2">
        <v>90000</v>
      </c>
    </row>
    <row r="45" spans="2:47" ht="12.75" customHeight="1" thickBot="1">
      <c r="B45" s="512"/>
      <c r="C45" s="538"/>
      <c r="D45" s="538"/>
      <c r="E45" s="538"/>
      <c r="G45" s="343" t="s">
        <v>14</v>
      </c>
      <c r="H45" s="362" t="str">
        <f>IF(G45="－","",_xlfn.XLOOKUP(G45,$AC$41:$AC$47,$AG$41:$AG$47))</f>
        <v/>
      </c>
      <c r="I45" s="515" t="str">
        <f>IF(G45="－","",_xlfn.XLOOKUP(G45,$AC$41:$AC$47,$AI$41:$AI$47))</f>
        <v/>
      </c>
      <c r="J45" s="516"/>
      <c r="K45" s="533">
        <f>IF($G45="－",0,LOOKUP($I45,$AC$60:$AC$70,$AD$60:$AD$70))</f>
        <v>0</v>
      </c>
      <c r="L45" s="533"/>
      <c r="S45" s="172">
        <v>18</v>
      </c>
      <c r="T45" s="544" t="s">
        <v>164</v>
      </c>
      <c r="U45" s="544"/>
      <c r="V45" s="544"/>
      <c r="W45" s="544"/>
      <c r="X45" s="274">
        <f>$AE$23</f>
        <v>0</v>
      </c>
      <c r="Y45" s="169"/>
      <c r="AA45" s="148">
        <f>IF(E68="",AA44,AA44+1)</f>
        <v>0</v>
      </c>
      <c r="AB45" s="4" t="str">
        <f>IF(E68="","","("&amp;AA45&amp;")"&amp;D68&amp;E68&amp;"(年少)"&amp;IF(P68="－","","("&amp;"0"&amp;P68&amp;")"))</f>
        <v/>
      </c>
      <c r="AC45" s="185" t="s">
        <v>340</v>
      </c>
      <c r="AD45" s="183">
        <f>IF(J61&gt;=$AD$40,IF(Q61="対象",1,0),0)</f>
        <v>0</v>
      </c>
      <c r="AE45" s="183">
        <f>IF(J67&gt;=$AD$40,IF(Q67="対象",1,0),0)</f>
        <v>0</v>
      </c>
      <c r="AF45" s="4">
        <f>IF(J61&gt;=$AD$40,IF(Q61="対象外",1,0),0)</f>
        <v>0</v>
      </c>
      <c r="AG45" s="4" t="str">
        <f>IF(AF45=1,D61&amp;E61,"")</f>
        <v/>
      </c>
      <c r="AH45" s="4">
        <f>IF(P61="－",0,1)</f>
        <v>0</v>
      </c>
      <c r="AI45" s="4">
        <f>IF(AF45=1,O61,0)</f>
        <v>0</v>
      </c>
      <c r="AK45" s="171">
        <v>1100001</v>
      </c>
      <c r="AL45" s="42"/>
      <c r="AM45" s="161">
        <f t="shared" si="3"/>
        <v>0</v>
      </c>
      <c r="AN45" s="2"/>
      <c r="AO45" s="304" t="s">
        <v>303</v>
      </c>
      <c r="AP45" s="163">
        <f>IF($E$16="",0,IF(G33="無","",IF(G38="無","",LOOKUP($AP$38,$AT$27:$AT$30,$AS$27:$AS$30))))</f>
        <v>0</v>
      </c>
      <c r="AQ45" s="174">
        <v>1100001</v>
      </c>
      <c r="AR45" s="2">
        <v>210000</v>
      </c>
      <c r="AS45" s="2">
        <v>140000</v>
      </c>
      <c r="AT45" s="2">
        <v>70000</v>
      </c>
    </row>
    <row r="46" spans="2:47" ht="12.75" customHeight="1">
      <c r="B46" s="545" t="s">
        <v>243</v>
      </c>
      <c r="C46" s="546"/>
      <c r="D46" s="510" t="s">
        <v>14</v>
      </c>
      <c r="E46" s="510"/>
      <c r="S46" s="172">
        <v>19</v>
      </c>
      <c r="T46" s="442" t="s">
        <v>37</v>
      </c>
      <c r="U46" s="442"/>
      <c r="V46" s="442"/>
      <c r="W46" s="442"/>
      <c r="X46" s="274">
        <f>IF($O$8="甲欄",$P$31,0)</f>
        <v>950000</v>
      </c>
      <c r="Y46" s="169"/>
      <c r="AA46" s="149">
        <f>IF(E69="",AA45,AA45+1)</f>
        <v>0</v>
      </c>
      <c r="AB46" s="150" t="str">
        <f>IF(E69="","","("&amp;AA46&amp;")"&amp;D69&amp;E69&amp;"(年少)"&amp;IF(P69="－","","("&amp;"0"&amp;P69&amp;")"))</f>
        <v/>
      </c>
      <c r="AC46" s="185" t="s">
        <v>341</v>
      </c>
      <c r="AD46" s="183">
        <f>IF(J62&gt;=$AD$40,IF(Q62="対象",1,0),0)</f>
        <v>0</v>
      </c>
      <c r="AE46" s="183">
        <f>IF(J68&gt;=$AD$40,IF(Q68="対象",1,0),0)</f>
        <v>0</v>
      </c>
      <c r="AF46" s="4">
        <f t="shared" ref="AF46:AF47" si="10">IF(J62&gt;=$AD$40,IF(Q62="対象外",1,0),0)</f>
        <v>0</v>
      </c>
      <c r="AG46" s="4" t="str">
        <f t="shared" ref="AG46:AG47" si="11">IF(AF46=1,D62&amp;E62,"")</f>
        <v/>
      </c>
      <c r="AH46" s="4">
        <f t="shared" ref="AH46:AH47" si="12">IF(P62="－",0,1)</f>
        <v>0</v>
      </c>
      <c r="AI46" s="4">
        <f>IF(AF46=1,O62,0)</f>
        <v>0</v>
      </c>
      <c r="AK46" s="171">
        <v>1150001</v>
      </c>
      <c r="AL46" s="42"/>
      <c r="AM46" s="161">
        <f t="shared" si="3"/>
        <v>0</v>
      </c>
      <c r="AN46" s="2"/>
      <c r="AQ46" s="174">
        <v>1150001</v>
      </c>
      <c r="AR46" s="2">
        <v>160000</v>
      </c>
      <c r="AS46" s="2">
        <v>110000</v>
      </c>
      <c r="AT46" s="2">
        <v>60000</v>
      </c>
    </row>
    <row r="47" spans="2:47" ht="12.75" customHeight="1">
      <c r="B47" s="547" t="s">
        <v>115</v>
      </c>
      <c r="C47" s="547"/>
      <c r="D47" s="510" t="s">
        <v>14</v>
      </c>
      <c r="E47" s="510"/>
      <c r="K47" s="80" t="s">
        <v>441</v>
      </c>
      <c r="L47" s="11"/>
      <c r="S47" s="172">
        <v>20</v>
      </c>
      <c r="T47" s="440" t="s">
        <v>38</v>
      </c>
      <c r="U47" s="440"/>
      <c r="V47" s="440"/>
      <c r="W47" s="440"/>
      <c r="X47" s="78">
        <f>IF($O$8="甲欄",SUM($X$37:$X$46),"0")</f>
        <v>950000</v>
      </c>
      <c r="Y47" s="170"/>
      <c r="AC47" s="185" t="s">
        <v>342</v>
      </c>
      <c r="AD47" s="183">
        <f>IF(J63&gt;=$AD$40,IF(Q63="対象",1,0),0)</f>
        <v>0</v>
      </c>
      <c r="AE47" s="183">
        <f>IF(J69&gt;=$AD$40,IF(Q69="対象",1,0),0)</f>
        <v>0</v>
      </c>
      <c r="AF47" s="4">
        <f t="shared" si="10"/>
        <v>0</v>
      </c>
      <c r="AG47" s="4" t="str">
        <f t="shared" si="11"/>
        <v/>
      </c>
      <c r="AH47" s="4">
        <f t="shared" si="12"/>
        <v>0</v>
      </c>
      <c r="AI47" s="4">
        <f>IF(AF47=1,O63,0)</f>
        <v>0</v>
      </c>
      <c r="AK47" s="171">
        <v>1200001</v>
      </c>
      <c r="AL47" s="42"/>
      <c r="AM47" s="161">
        <f t="shared" si="3"/>
        <v>0</v>
      </c>
      <c r="AN47" s="2"/>
      <c r="AQ47" s="174">
        <v>1200001</v>
      </c>
      <c r="AR47" s="2">
        <v>110000</v>
      </c>
      <c r="AS47" s="2">
        <v>80000</v>
      </c>
      <c r="AT47" s="2">
        <v>40000</v>
      </c>
    </row>
    <row r="48" spans="2:47" ht="12.75" customHeight="1">
      <c r="B48" s="435" t="s">
        <v>305</v>
      </c>
      <c r="C48" s="435"/>
      <c r="D48" s="511"/>
      <c r="E48" s="511"/>
      <c r="K48" s="271"/>
      <c r="L48" s="116"/>
      <c r="M48" s="272"/>
      <c r="N48" s="269" t="s">
        <v>277</v>
      </c>
      <c r="O48" s="106"/>
      <c r="P48" s="466" t="s">
        <v>277</v>
      </c>
      <c r="Q48" s="466"/>
      <c r="R48" s="367"/>
      <c r="S48" s="173" t="s">
        <v>316</v>
      </c>
      <c r="T48" s="506" t="s">
        <v>39</v>
      </c>
      <c r="U48" s="506"/>
      <c r="V48" s="506"/>
      <c r="W48" s="506"/>
      <c r="X48" s="59">
        <f>IF($X$36-$X$47&lt;0,0,ROUNDDOWN($X$36-$X$47,-3))</f>
        <v>0</v>
      </c>
      <c r="Y48" s="267">
        <f>$AR$85</f>
        <v>0</v>
      </c>
      <c r="Z48" s="2"/>
      <c r="AC48" s="67" t="s">
        <v>328</v>
      </c>
      <c r="AD48" s="187" t="str">
        <f>IF(Q40="✔","該当","")</f>
        <v/>
      </c>
      <c r="AE48" s="4"/>
      <c r="AK48" s="171">
        <v>1250001</v>
      </c>
      <c r="AL48" s="42"/>
      <c r="AM48" s="161">
        <f t="shared" si="3"/>
        <v>0</v>
      </c>
      <c r="AN48" s="2"/>
      <c r="AQ48" s="174">
        <v>1250001</v>
      </c>
      <c r="AR48" s="2">
        <v>60000</v>
      </c>
      <c r="AS48" s="2">
        <v>40000</v>
      </c>
      <c r="AT48" s="2">
        <v>20000</v>
      </c>
    </row>
    <row r="49" spans="2:46" ht="12.75" customHeight="1">
      <c r="K49" s="548" t="s">
        <v>184</v>
      </c>
      <c r="L49" s="548"/>
      <c r="M49" s="276" t="s">
        <v>193</v>
      </c>
      <c r="N49" s="87"/>
      <c r="O49" s="276" t="s">
        <v>182</v>
      </c>
      <c r="P49" s="517"/>
      <c r="Q49" s="517"/>
      <c r="R49" s="367"/>
      <c r="S49" s="172">
        <v>23</v>
      </c>
      <c r="T49" s="442" t="s">
        <v>159</v>
      </c>
      <c r="U49" s="442"/>
      <c r="V49" s="442"/>
      <c r="W49" s="442"/>
      <c r="X49" s="442"/>
      <c r="Y49" s="29">
        <f>IF($F$51=0,0,$F$51)</f>
        <v>0</v>
      </c>
      <c r="AC49" s="67" t="s">
        <v>329</v>
      </c>
      <c r="AD49" s="187" t="str">
        <f>IF(Q37="✔","該当",IF(Q38="✔","該当",IF(Q39="✔","該当","")))</f>
        <v/>
      </c>
      <c r="AK49" s="171">
        <v>1300001</v>
      </c>
      <c r="AL49" s="42"/>
      <c r="AM49" s="161">
        <f t="shared" si="3"/>
        <v>0</v>
      </c>
      <c r="AN49" s="2"/>
      <c r="AQ49" s="174">
        <v>1300001</v>
      </c>
      <c r="AR49" s="2">
        <v>30000</v>
      </c>
      <c r="AS49" s="2">
        <v>20000</v>
      </c>
      <c r="AT49" s="2">
        <v>10000</v>
      </c>
    </row>
    <row r="50" spans="2:46" ht="12.75" customHeight="1" thickBot="1">
      <c r="B50" s="4" t="s">
        <v>238</v>
      </c>
      <c r="I50" s="67" t="s">
        <v>273</v>
      </c>
      <c r="K50" s="548"/>
      <c r="L50" s="548"/>
      <c r="M50" s="269" t="s">
        <v>181</v>
      </c>
      <c r="N50" s="265"/>
      <c r="O50" s="88" t="s">
        <v>185</v>
      </c>
      <c r="P50" s="467" t="s">
        <v>185</v>
      </c>
      <c r="Q50" s="467"/>
      <c r="R50" s="367"/>
      <c r="S50" s="172">
        <v>24</v>
      </c>
      <c r="T50" s="442" t="s">
        <v>198</v>
      </c>
      <c r="U50" s="442"/>
      <c r="V50" s="442"/>
      <c r="W50" s="442"/>
      <c r="X50" s="445"/>
      <c r="Y50" s="93">
        <f>IF($Y$48-$Y$49&lt;=0,0,$Y$48-$Y$49)</f>
        <v>0</v>
      </c>
      <c r="AC50" s="26"/>
      <c r="AD50" s="4"/>
      <c r="AE50" s="4"/>
      <c r="AK50" s="171">
        <v>1330001</v>
      </c>
      <c r="AL50" s="42"/>
      <c r="AM50" s="161">
        <f t="shared" si="3"/>
        <v>0</v>
      </c>
      <c r="AN50" s="2"/>
      <c r="AQ50" s="174">
        <v>1330001</v>
      </c>
      <c r="AR50" s="2">
        <v>0</v>
      </c>
      <c r="AS50" s="2">
        <v>0</v>
      </c>
      <c r="AT50" s="2">
        <v>0</v>
      </c>
    </row>
    <row r="51" spans="2:46" ht="12.75" customHeight="1" thickBot="1">
      <c r="B51" s="137" t="s">
        <v>239</v>
      </c>
      <c r="C51" s="539" t="s">
        <v>267</v>
      </c>
      <c r="D51" s="540"/>
      <c r="E51" s="541"/>
      <c r="F51" s="517"/>
      <c r="G51" s="517"/>
      <c r="H51" s="67" t="s">
        <v>90</v>
      </c>
      <c r="I51" s="270" t="s">
        <v>14</v>
      </c>
      <c r="K51" s="548"/>
      <c r="L51" s="548"/>
      <c r="M51" s="276" t="s">
        <v>192</v>
      </c>
      <c r="N51" s="265"/>
      <c r="O51" s="276" t="s">
        <v>183</v>
      </c>
      <c r="P51" s="517"/>
      <c r="Q51" s="517"/>
      <c r="R51" s="367"/>
      <c r="S51" s="172">
        <v>25</v>
      </c>
      <c r="T51" s="445" t="s">
        <v>203</v>
      </c>
      <c r="U51" s="513"/>
      <c r="V51" s="513"/>
      <c r="W51" s="513"/>
      <c r="X51" s="330" t="s">
        <v>197</v>
      </c>
      <c r="Y51" s="94">
        <f>IF($O$8="甲欄",IF(ROUNDDOWN($Y$50*102.1%,-2)&lt;=0,0,ROUNDDOWN($Y$50*102.1%,-2)),$Y$33)</f>
        <v>0</v>
      </c>
      <c r="AB51" s="4" t="s">
        <v>283</v>
      </c>
      <c r="AC51" s="4" t="s">
        <v>284</v>
      </c>
      <c r="AD51" s="4" t="s">
        <v>288</v>
      </c>
      <c r="AG51" s="297"/>
      <c r="AK51" s="2"/>
      <c r="AL51" s="41"/>
      <c r="AM51" s="2"/>
      <c r="AN51" s="2"/>
      <c r="AO51" s="4" t="s">
        <v>378</v>
      </c>
    </row>
    <row r="52" spans="2:46" ht="12.75" customHeight="1">
      <c r="B52" s="424" t="s">
        <v>14</v>
      </c>
      <c r="C52" s="545" t="s">
        <v>270</v>
      </c>
      <c r="D52" s="554"/>
      <c r="E52" s="546"/>
      <c r="F52" s="499" t="str">
        <f>IF($F$51-MIN($Y$48:$Y$49)=0,"",$F$51)</f>
        <v/>
      </c>
      <c r="G52" s="499"/>
      <c r="H52" s="67" t="s">
        <v>272</v>
      </c>
      <c r="I52" s="46" t="s">
        <v>14</v>
      </c>
      <c r="K52" s="542" t="s">
        <v>158</v>
      </c>
      <c r="L52" s="543"/>
      <c r="M52" s="276" t="s">
        <v>150</v>
      </c>
      <c r="N52" s="86"/>
      <c r="O52" s="89" t="s">
        <v>149</v>
      </c>
      <c r="P52" s="517"/>
      <c r="Q52" s="517"/>
      <c r="R52" s="367"/>
      <c r="S52" s="172">
        <v>26</v>
      </c>
      <c r="T52" s="445" t="s">
        <v>41</v>
      </c>
      <c r="U52" s="513"/>
      <c r="V52" s="513"/>
      <c r="W52" s="513"/>
      <c r="X52" s="95" t="str">
        <f>IF(Y52&gt;=0,"［ 超過 ］","［ 不足］")</f>
        <v>［ 超過 ］</v>
      </c>
      <c r="Y52" s="92">
        <f>$Y$33-$Y$51</f>
        <v>0</v>
      </c>
      <c r="AC52" s="4" t="s">
        <v>185</v>
      </c>
      <c r="AD52" s="4" t="s">
        <v>185</v>
      </c>
      <c r="AK52" s="534" t="s">
        <v>118</v>
      </c>
      <c r="AL52" s="535"/>
      <c r="AM52" s="299" t="s">
        <v>119</v>
      </c>
      <c r="AO52" s="26">
        <f>+AO58+1</f>
        <v>22283</v>
      </c>
      <c r="AP52" s="60" t="s">
        <v>120</v>
      </c>
      <c r="AR52" s="4" t="s">
        <v>373</v>
      </c>
    </row>
    <row r="53" spans="2:46" ht="12.75" customHeight="1">
      <c r="B53" s="424"/>
      <c r="C53" s="549" t="s">
        <v>266</v>
      </c>
      <c r="D53" s="550"/>
      <c r="E53" s="31" t="s">
        <v>268</v>
      </c>
      <c r="F53" s="551" t="s">
        <v>269</v>
      </c>
      <c r="G53" s="551"/>
      <c r="H53" s="67" t="s">
        <v>274</v>
      </c>
      <c r="I53" s="46" t="s">
        <v>14</v>
      </c>
      <c r="K53" s="552" t="s">
        <v>157</v>
      </c>
      <c r="L53" s="555"/>
      <c r="M53" s="553"/>
      <c r="N53" s="559" t="s">
        <v>96</v>
      </c>
      <c r="O53" s="560"/>
      <c r="P53" s="517"/>
      <c r="Q53" s="517"/>
      <c r="R53" s="367"/>
      <c r="AB53" s="4" t="s">
        <v>285</v>
      </c>
      <c r="AC53" s="4" t="s">
        <v>168</v>
      </c>
      <c r="AD53" s="4" t="s">
        <v>289</v>
      </c>
      <c r="AK53" s="299">
        <v>0</v>
      </c>
      <c r="AL53" s="300">
        <v>0</v>
      </c>
      <c r="AM53" s="299">
        <f>600000-$AT$53</f>
        <v>600000</v>
      </c>
      <c r="AO53" s="61">
        <f>IF(J16&lt;=AO58,0,W63)</f>
        <v>0</v>
      </c>
      <c r="AP53" s="60"/>
      <c r="AS53" s="33">
        <f>+Y61+Y62+Y64+Y65+Y66+Y67+Y68+Y69</f>
        <v>0</v>
      </c>
      <c r="AT53" s="64">
        <f>LOOKUP(AS53,AS55:AS58,AT55:AT58)</f>
        <v>0</v>
      </c>
    </row>
    <row r="54" spans="2:46" ht="12.75" customHeight="1">
      <c r="B54" s="12" t="s">
        <v>246</v>
      </c>
      <c r="C54" s="536"/>
      <c r="D54" s="536"/>
      <c r="E54" s="270" t="s">
        <v>14</v>
      </c>
      <c r="F54" s="517"/>
      <c r="G54" s="517"/>
      <c r="H54" s="67" t="s">
        <v>110</v>
      </c>
      <c r="I54" s="46" t="s">
        <v>14</v>
      </c>
      <c r="K54" s="556"/>
      <c r="L54" s="557"/>
      <c r="M54" s="558"/>
      <c r="N54" s="552" t="s">
        <v>97</v>
      </c>
      <c r="O54" s="553"/>
      <c r="P54" s="517"/>
      <c r="Q54" s="517"/>
      <c r="R54" s="367"/>
      <c r="AB54" s="4" t="s">
        <v>286</v>
      </c>
      <c r="AC54" s="4" t="s">
        <v>272</v>
      </c>
      <c r="AD54" s="4"/>
      <c r="AK54" s="299">
        <v>1300000</v>
      </c>
      <c r="AL54" s="300">
        <v>0.25</v>
      </c>
      <c r="AM54" s="299">
        <f>275000-$AT$53</f>
        <v>275000</v>
      </c>
      <c r="AO54" s="60"/>
      <c r="AP54" s="62" t="s">
        <v>119</v>
      </c>
      <c r="AQ54" s="60" t="s">
        <v>121</v>
      </c>
    </row>
    <row r="55" spans="2:46" ht="12.75" customHeight="1">
      <c r="B55" s="12" t="s">
        <v>247</v>
      </c>
      <c r="C55" s="536"/>
      <c r="D55" s="536"/>
      <c r="E55" s="270" t="s">
        <v>14</v>
      </c>
      <c r="F55" s="517"/>
      <c r="G55" s="517"/>
      <c r="H55" s="67" t="s">
        <v>467</v>
      </c>
      <c r="I55" s="46" t="s">
        <v>14</v>
      </c>
      <c r="K55" s="548" t="s">
        <v>98</v>
      </c>
      <c r="L55" s="548"/>
      <c r="M55" s="548"/>
      <c r="N55" s="548"/>
      <c r="O55" s="548"/>
      <c r="P55" s="517"/>
      <c r="Q55" s="517"/>
      <c r="R55" s="367"/>
      <c r="AC55" s="140" t="s">
        <v>274</v>
      </c>
      <c r="AD55" s="4"/>
      <c r="AK55" s="299">
        <v>4100000</v>
      </c>
      <c r="AL55" s="300">
        <v>0.15</v>
      </c>
      <c r="AM55" s="299">
        <f>685000-$AT$53</f>
        <v>685000</v>
      </c>
      <c r="AO55" s="63">
        <f>LOOKUP(AO53,AK53:AK57,AL53:AL57)</f>
        <v>0</v>
      </c>
      <c r="AP55" s="64">
        <f>IF(AO53=0,0,LOOKUP(AO53,AK53:AK57,AM53:AM57))</f>
        <v>0</v>
      </c>
      <c r="AQ55" s="299">
        <f>ROUNDDOWN((AO53*AO55+AP55),0)</f>
        <v>0</v>
      </c>
      <c r="AS55" s="4">
        <v>0</v>
      </c>
      <c r="AT55" s="4">
        <v>0</v>
      </c>
    </row>
    <row r="56" spans="2:46" ht="12.75" customHeight="1">
      <c r="B56" s="4" t="s">
        <v>477</v>
      </c>
      <c r="AC56" s="140" t="s">
        <v>287</v>
      </c>
      <c r="AD56" s="4"/>
      <c r="AK56" s="301">
        <v>7700000</v>
      </c>
      <c r="AL56" s="300">
        <v>0.05</v>
      </c>
      <c r="AM56" s="299">
        <f>1455000-$AT$53</f>
        <v>1455000</v>
      </c>
      <c r="AO56" s="60"/>
      <c r="AP56" s="60"/>
      <c r="AS56" s="2">
        <v>10000001</v>
      </c>
      <c r="AT56" s="2">
        <v>100000</v>
      </c>
    </row>
    <row r="57" spans="2:46" ht="12.75" customHeight="1">
      <c r="B57" s="4" t="s">
        <v>295</v>
      </c>
      <c r="AK57" s="301">
        <v>10000000</v>
      </c>
      <c r="AL57" s="300">
        <v>0</v>
      </c>
      <c r="AM57" s="299">
        <f>1955000-$AT$53</f>
        <v>1955000</v>
      </c>
      <c r="AS57" s="2">
        <v>20000001</v>
      </c>
      <c r="AT57" s="2">
        <v>200000</v>
      </c>
    </row>
    <row r="58" spans="2:46" ht="12.75" customHeight="1">
      <c r="Z58" s="1"/>
      <c r="AC58" s="4" t="s">
        <v>453</v>
      </c>
      <c r="AD58" s="4"/>
      <c r="AE58" s="4"/>
      <c r="AK58" s="534" t="s">
        <v>122</v>
      </c>
      <c r="AL58" s="535"/>
      <c r="AM58" s="299" t="s">
        <v>119</v>
      </c>
      <c r="AO58" s="26">
        <f>+AF34</f>
        <v>22282</v>
      </c>
      <c r="AP58" s="60" t="s">
        <v>123</v>
      </c>
      <c r="AQ58" s="60"/>
      <c r="AS58" s="2"/>
      <c r="AT58" s="2"/>
    </row>
    <row r="59" spans="2:46" ht="12.75" customHeight="1">
      <c r="B59" s="4" t="s">
        <v>294</v>
      </c>
      <c r="R59" s="578" t="s">
        <v>474</v>
      </c>
      <c r="T59" s="4" t="s">
        <v>327</v>
      </c>
      <c r="AC59" s="4" t="s">
        <v>446</v>
      </c>
      <c r="AD59" s="4" t="s">
        <v>445</v>
      </c>
      <c r="AE59" s="4" t="s">
        <v>468</v>
      </c>
      <c r="AF59" s="4" t="s">
        <v>470</v>
      </c>
      <c r="AG59" s="4" t="s">
        <v>478</v>
      </c>
      <c r="AH59" s="4" t="s">
        <v>479</v>
      </c>
      <c r="AK59" s="299">
        <v>0</v>
      </c>
      <c r="AL59" s="300">
        <v>0</v>
      </c>
      <c r="AM59" s="299">
        <f>1100000-$AT$53</f>
        <v>1100000</v>
      </c>
      <c r="AO59" s="61">
        <f>IF(J16&gt;AO58,0,W63)</f>
        <v>0</v>
      </c>
      <c r="AP59" s="60"/>
      <c r="AQ59" s="60"/>
      <c r="AS59" s="19"/>
    </row>
    <row r="60" spans="2:46" ht="12.75" customHeight="1">
      <c r="B60" s="561" t="s">
        <v>297</v>
      </c>
      <c r="C60" s="562"/>
      <c r="D60" s="455" t="s">
        <v>167</v>
      </c>
      <c r="E60" s="444"/>
      <c r="F60" s="430" t="s">
        <v>76</v>
      </c>
      <c r="G60" s="432"/>
      <c r="H60" s="12" t="s">
        <v>236</v>
      </c>
      <c r="I60" s="12" t="s">
        <v>85</v>
      </c>
      <c r="J60" s="21" t="s">
        <v>4</v>
      </c>
      <c r="K60" s="30" t="s">
        <v>169</v>
      </c>
      <c r="L60" s="275" t="s">
        <v>285</v>
      </c>
      <c r="M60" s="443" t="s">
        <v>7</v>
      </c>
      <c r="N60" s="444"/>
      <c r="O60" s="31" t="s">
        <v>145</v>
      </c>
      <c r="P60" s="31" t="s">
        <v>240</v>
      </c>
      <c r="Q60" s="32" t="s">
        <v>86</v>
      </c>
      <c r="R60" s="578"/>
      <c r="T60" s="446" t="s">
        <v>456</v>
      </c>
      <c r="U60" s="446"/>
      <c r="V60" s="446"/>
      <c r="W60" s="264" t="s">
        <v>102</v>
      </c>
      <c r="X60" s="266" t="s">
        <v>103</v>
      </c>
      <c r="Y60" s="248" t="s">
        <v>104</v>
      </c>
      <c r="AC60" s="171">
        <v>0</v>
      </c>
      <c r="AD60" s="171">
        <v>0</v>
      </c>
      <c r="AE60" s="4">
        <v>0</v>
      </c>
      <c r="AF60" s="4">
        <v>0</v>
      </c>
      <c r="AK60" s="299">
        <v>3300000</v>
      </c>
      <c r="AL60" s="300">
        <v>0.25</v>
      </c>
      <c r="AM60" s="299">
        <f>275000-$AT$53</f>
        <v>275000</v>
      </c>
      <c r="AO60" s="60"/>
      <c r="AP60" s="62" t="s">
        <v>119</v>
      </c>
      <c r="AQ60" s="60" t="s">
        <v>121</v>
      </c>
      <c r="AS60" s="19"/>
    </row>
    <row r="61" spans="2:46" ht="12.75" customHeight="1">
      <c r="B61" s="563">
        <f>+B20</f>
        <v>40179</v>
      </c>
      <c r="C61" s="269" t="s">
        <v>279</v>
      </c>
      <c r="D61" s="34"/>
      <c r="E61" s="20"/>
      <c r="F61" s="34"/>
      <c r="G61" s="20"/>
      <c r="H61" s="279"/>
      <c r="I61" s="35" t="s">
        <v>14</v>
      </c>
      <c r="J61" s="39"/>
      <c r="K61" s="36" t="str">
        <f>IF($J$61&gt;=$AF$21,"対象外",IF($J$61="","",IF(AND($J$61&lt;=$AF$18,$L$61="同居"),"同居老",IF($J$61&lt;=$AF$18,"老",IF($J$61&gt;=$AF$19,IF($J$61&lt;=$AG$19,"特",""),"")))))</f>
        <v/>
      </c>
      <c r="L61" s="35" t="s">
        <v>14</v>
      </c>
      <c r="M61" s="425"/>
      <c r="N61" s="426"/>
      <c r="O61" s="37">
        <f>+$Y$102</f>
        <v>0</v>
      </c>
      <c r="P61" s="328" t="s">
        <v>14</v>
      </c>
      <c r="Q61" s="115" t="str">
        <f>IF($J$61="","",IF($J$61&gt;=$AF$21,"住民税事項へ",IF($O$61&gt;580000,"対象外","対象")))</f>
        <v/>
      </c>
      <c r="R61" s="369">
        <f>IF(K61="特",IF(IF(C61="－","",LOOKUP(C61,$AC$41:$AC$47,$AH$41:$AH$47))=0,IF($C61="－",0,LOOKUP($O61,$AC$60:$AC$70,$AE$60:$AE$70)),IF($C61="－",0,LOOKUP($O61,$AC$60:$AC$70,$AF$60:$AF$70))),0)</f>
        <v>0</v>
      </c>
      <c r="T61" s="447" t="s">
        <v>105</v>
      </c>
      <c r="U61" s="447"/>
      <c r="V61" s="447"/>
      <c r="W61" s="267">
        <f>+$I$36</f>
        <v>0</v>
      </c>
      <c r="X61" s="165"/>
      <c r="Y61" s="262">
        <f>+IF($I$36="",0,$AQ$21)</f>
        <v>0</v>
      </c>
      <c r="AC61" s="171">
        <v>580001</v>
      </c>
      <c r="AD61" s="171">
        <v>630000</v>
      </c>
      <c r="AE61" s="4">
        <v>10</v>
      </c>
      <c r="AF61" s="4">
        <v>11</v>
      </c>
      <c r="AG61" s="375">
        <f>COUNTIF($R$17:$R$20,AE61)+COUNTIF($R$61:$R$63,AE61)+COUNTIF($R$17:$R$20,AF61)+COUNTIF($R$61:$R$63,AF61)</f>
        <v>0</v>
      </c>
      <c r="AH61" s="1">
        <f>+AG61*AD61</f>
        <v>0</v>
      </c>
      <c r="AK61" s="299">
        <v>4100000</v>
      </c>
      <c r="AL61" s="300">
        <v>0.15</v>
      </c>
      <c r="AM61" s="299">
        <f>685000-$AT$53</f>
        <v>685000</v>
      </c>
      <c r="AO61" s="63">
        <f>LOOKUP(AO59,AK59:AK63,AL59:AL63)</f>
        <v>0</v>
      </c>
      <c r="AP61" s="64">
        <f>IF(AO59=0,0,LOOKUP(AO59,AK59:AK63,AM59:AM63))</f>
        <v>0</v>
      </c>
      <c r="AQ61" s="299">
        <f>ROUNDDOWN((AO59*AO61+AP61),0)</f>
        <v>0</v>
      </c>
      <c r="AS61" s="19"/>
    </row>
    <row r="62" spans="2:46" ht="12.75" customHeight="1">
      <c r="B62" s="564"/>
      <c r="C62" s="269" t="s">
        <v>280</v>
      </c>
      <c r="D62" s="34"/>
      <c r="E62" s="20"/>
      <c r="F62" s="34"/>
      <c r="G62" s="20"/>
      <c r="H62" s="279"/>
      <c r="I62" s="141" t="s">
        <v>14</v>
      </c>
      <c r="J62" s="39"/>
      <c r="K62" s="36" t="str">
        <f>IF($J$62&gt;=$AF$21,"対象外",IF($J$62="","",IF(AND($J$62&lt;=$AF$18,$L$62="同居"),"同居老",IF($J$62&lt;=$AF$18,"老",IF($J$62&gt;=$AF$19,IF($J$62&lt;=$AG$19,"特",""),"")))))</f>
        <v/>
      </c>
      <c r="L62" s="35" t="s">
        <v>14</v>
      </c>
      <c r="M62" s="425"/>
      <c r="N62" s="426"/>
      <c r="O62" s="37">
        <f>+$Y$108</f>
        <v>0</v>
      </c>
      <c r="P62" s="328" t="s">
        <v>14</v>
      </c>
      <c r="Q62" s="115" t="str">
        <f>IF($J$62="","",IF($J$62&gt;=$AF$21,"住民税事項へ",IF($O$62&gt;580000,"対象外","対象")))</f>
        <v/>
      </c>
      <c r="R62" s="369">
        <f>IF(K62="特",IF(IF(C62="－","",LOOKUP(C62,$AC$41:$AC$47,$AH$41:$AH$47))=0,IF($C62="－",0,LOOKUP($O62,$AC$60:$AC$70,$AE$60:$AE$70)),IF($C62="－",0,LOOKUP($O62,$AC$60:$AC$70,$AF$60:$AF$70))),0)</f>
        <v>0</v>
      </c>
      <c r="T62" s="447" t="s">
        <v>107</v>
      </c>
      <c r="U62" s="447"/>
      <c r="V62" s="447"/>
      <c r="W62" s="107"/>
      <c r="X62" s="265"/>
      <c r="Y62" s="262">
        <f>($W$62-$X$62)</f>
        <v>0</v>
      </c>
      <c r="AC62" s="171">
        <v>850001</v>
      </c>
      <c r="AD62" s="171">
        <v>610000</v>
      </c>
      <c r="AE62" s="4">
        <v>20</v>
      </c>
      <c r="AF62" s="4">
        <v>21</v>
      </c>
      <c r="AG62" s="375">
        <f t="shared" ref="AG62:AG69" si="13">COUNTIF($R$17:$R$20,AE62)+COUNTIF($R$61:$R$63,AE62)+COUNTIF($R$17:$R$20,AF62)+COUNTIF($R$61:$R$63,AF62)</f>
        <v>0</v>
      </c>
      <c r="AH62" s="1">
        <f t="shared" ref="AH62:AH69" si="14">+AG62*AD62</f>
        <v>0</v>
      </c>
      <c r="AK62" s="299">
        <v>7700000</v>
      </c>
      <c r="AL62" s="300">
        <v>0.05</v>
      </c>
      <c r="AM62" s="299">
        <f>1455000-$AT$53</f>
        <v>1455000</v>
      </c>
      <c r="AN62" s="60"/>
      <c r="AO62" s="60"/>
      <c r="AP62" s="60"/>
      <c r="AS62" s="19"/>
    </row>
    <row r="63" spans="2:46" ht="12.75" customHeight="1">
      <c r="B63" s="565"/>
      <c r="C63" s="269" t="s">
        <v>281</v>
      </c>
      <c r="D63" s="34"/>
      <c r="E63" s="20"/>
      <c r="F63" s="34"/>
      <c r="G63" s="20"/>
      <c r="H63" s="279"/>
      <c r="I63" s="35" t="s">
        <v>14</v>
      </c>
      <c r="J63" s="39"/>
      <c r="K63" s="36" t="str">
        <f>IF($J$63&gt;=$AF$21,"対象外",IF($J$63="","",IF(AND($J$63&lt;=$AF$18,$L$63="同居"),"同居老",IF($J$63&lt;=$AF$18,"老",IF($J$63&gt;=$AF$19,IF($J$63&lt;=$AG$19,"特",""),"")))))</f>
        <v/>
      </c>
      <c r="L63" s="35" t="s">
        <v>14</v>
      </c>
      <c r="M63" s="425"/>
      <c r="N63" s="426"/>
      <c r="O63" s="37">
        <f>+$Y$114</f>
        <v>0</v>
      </c>
      <c r="P63" s="328" t="s">
        <v>14</v>
      </c>
      <c r="Q63" s="115" t="str">
        <f>IF($J$63="","",IF($J$63&gt;=$AF$21,"住民税事項へ",IF($O$63&gt;580000,"対象外","対象")))</f>
        <v/>
      </c>
      <c r="R63" s="369">
        <f>IF(K63="特",IF(IF(C63="－","",LOOKUP(C63,$AC$41:$AC$47,$AH$41:$AH$47))=0,IF($C63="－",0,LOOKUP($O63,$AC$60:$AC$70,$AE$60:$AE$70)),IF($C63="－",0,LOOKUP($O63,$AC$60:$AC$70,$AF$60:$AF$70))),0)</f>
        <v>0</v>
      </c>
      <c r="T63" s="577" t="s">
        <v>108</v>
      </c>
      <c r="U63" s="577"/>
      <c r="V63" s="247" t="s">
        <v>109</v>
      </c>
      <c r="W63" s="107"/>
      <c r="X63" s="267">
        <f>+MAX($AQ$55,$AQ$61)</f>
        <v>0</v>
      </c>
      <c r="Y63" s="262">
        <f>+(MAX($W$63-$X$63,0))</f>
        <v>0</v>
      </c>
      <c r="AC63" s="171">
        <v>900001</v>
      </c>
      <c r="AD63" s="171">
        <v>510000</v>
      </c>
      <c r="AE63" s="4">
        <v>30</v>
      </c>
      <c r="AF63" s="4">
        <v>31</v>
      </c>
      <c r="AG63" s="375">
        <f t="shared" si="13"/>
        <v>0</v>
      </c>
      <c r="AH63" s="1">
        <f t="shared" si="14"/>
        <v>0</v>
      </c>
      <c r="AK63" s="299">
        <v>10000000</v>
      </c>
      <c r="AL63" s="300">
        <v>0</v>
      </c>
      <c r="AM63" s="299">
        <f>1955000-$AT$53</f>
        <v>1955000</v>
      </c>
      <c r="AN63" s="2"/>
      <c r="AS63" s="19"/>
    </row>
    <row r="64" spans="2:46" ht="12.75" customHeight="1">
      <c r="T64" s="577"/>
      <c r="U64" s="577"/>
      <c r="V64" s="263" t="s">
        <v>110</v>
      </c>
      <c r="W64" s="107"/>
      <c r="X64" s="265"/>
      <c r="Y64" s="262">
        <f>+($W$64-$X$64)</f>
        <v>0</v>
      </c>
      <c r="AC64" s="171">
        <v>950001</v>
      </c>
      <c r="AD64" s="171">
        <v>410000</v>
      </c>
      <c r="AE64" s="4">
        <v>40</v>
      </c>
      <c r="AF64" s="4">
        <v>41</v>
      </c>
      <c r="AG64" s="375">
        <f t="shared" si="13"/>
        <v>0</v>
      </c>
      <c r="AH64" s="1">
        <f t="shared" si="14"/>
        <v>0</v>
      </c>
      <c r="AK64" s="16" t="s">
        <v>186</v>
      </c>
      <c r="AL64" s="17"/>
      <c r="AM64" s="18"/>
      <c r="AN64" s="67" t="s">
        <v>182</v>
      </c>
      <c r="AO64" s="14">
        <f>P49</f>
        <v>0</v>
      </c>
      <c r="AP64" s="41">
        <f>LOOKUP(AO64,AK66:AK69,AL66:AL69)</f>
        <v>1</v>
      </c>
      <c r="AQ64" s="2">
        <f>LOOKUP(AO64,AK66:AK69,AM66:AM69)</f>
        <v>0</v>
      </c>
      <c r="AR64" s="14">
        <f>ROUNDUP(AO64*AP64+AQ64,0)</f>
        <v>0</v>
      </c>
      <c r="AS64" s="19"/>
    </row>
    <row r="65" spans="2:45" ht="12.75" customHeight="1">
      <c r="B65" s="4" t="s">
        <v>293</v>
      </c>
      <c r="T65" s="447" t="s">
        <v>111</v>
      </c>
      <c r="U65" s="447"/>
      <c r="V65" s="447"/>
      <c r="W65" s="107"/>
      <c r="X65" s="265"/>
      <c r="Y65" s="262">
        <f>+($W$65-$X$65)</f>
        <v>0</v>
      </c>
      <c r="AC65" s="171">
        <v>1000001</v>
      </c>
      <c r="AD65" s="171">
        <v>310000</v>
      </c>
      <c r="AE65" s="4">
        <v>50</v>
      </c>
      <c r="AF65" s="4">
        <v>51</v>
      </c>
      <c r="AG65" s="375">
        <f t="shared" si="13"/>
        <v>0</v>
      </c>
      <c r="AH65" s="1">
        <f t="shared" si="14"/>
        <v>0</v>
      </c>
      <c r="AK65" s="12" t="s">
        <v>189</v>
      </c>
      <c r="AL65" s="65" t="s">
        <v>18</v>
      </c>
      <c r="AM65" s="66"/>
      <c r="AN65" s="67" t="s">
        <v>193</v>
      </c>
      <c r="AO65" s="14">
        <f>N49</f>
        <v>0</v>
      </c>
      <c r="AP65" s="41">
        <f>LOOKUP(AO65,AK71:AK74,AL71:AL74)</f>
        <v>1</v>
      </c>
      <c r="AQ65" s="2">
        <f>LOOKUP(AO65,AK71:AK74,AM71:AM74)</f>
        <v>0</v>
      </c>
      <c r="AR65" s="14">
        <f>ROUNDUP(AO65*AP65+AQ65,0)</f>
        <v>0</v>
      </c>
      <c r="AS65" s="19"/>
    </row>
    <row r="66" spans="2:45" ht="12.75" customHeight="1">
      <c r="B66" s="566" t="s">
        <v>296</v>
      </c>
      <c r="C66" s="567"/>
      <c r="D66" s="455" t="s">
        <v>167</v>
      </c>
      <c r="E66" s="444"/>
      <c r="F66" s="430" t="s">
        <v>76</v>
      </c>
      <c r="G66" s="432"/>
      <c r="H66" s="12" t="s">
        <v>236</v>
      </c>
      <c r="I66" s="12" t="s">
        <v>85</v>
      </c>
      <c r="J66" s="21" t="s">
        <v>4</v>
      </c>
      <c r="K66" s="30" t="s">
        <v>169</v>
      </c>
      <c r="L66" s="275" t="s">
        <v>285</v>
      </c>
      <c r="M66" s="443" t="s">
        <v>7</v>
      </c>
      <c r="N66" s="444"/>
      <c r="O66" s="31" t="s">
        <v>145</v>
      </c>
      <c r="P66" s="31" t="s">
        <v>240</v>
      </c>
      <c r="Q66" s="32" t="s">
        <v>86</v>
      </c>
      <c r="R66" s="366"/>
      <c r="T66" s="447" t="s">
        <v>112</v>
      </c>
      <c r="U66" s="447"/>
      <c r="V66" s="447"/>
      <c r="W66" s="107"/>
      <c r="X66" s="265"/>
      <c r="Y66" s="262">
        <f>+($W$66-$X$66)</f>
        <v>0</v>
      </c>
      <c r="AC66" s="171">
        <v>1050001</v>
      </c>
      <c r="AD66" s="171">
        <v>210000</v>
      </c>
      <c r="AE66" s="4">
        <v>60</v>
      </c>
      <c r="AF66" s="4">
        <v>61</v>
      </c>
      <c r="AG66" s="375">
        <f t="shared" si="13"/>
        <v>0</v>
      </c>
      <c r="AH66" s="1">
        <f t="shared" si="14"/>
        <v>0</v>
      </c>
      <c r="AK66" s="14">
        <v>0</v>
      </c>
      <c r="AL66" s="42">
        <v>1</v>
      </c>
      <c r="AM66" s="14">
        <v>0</v>
      </c>
      <c r="AQ66" s="3" t="s">
        <v>190</v>
      </c>
      <c r="AR66" s="50">
        <f>MAX(IF(AR64+AR65&lt;=40000,AR64+AR65,40000),AR64)</f>
        <v>0</v>
      </c>
    </row>
    <row r="67" spans="2:45" ht="12.75" customHeight="1">
      <c r="B67" s="572">
        <f>+B26</f>
        <v>40180</v>
      </c>
      <c r="C67" s="269" t="s">
        <v>279</v>
      </c>
      <c r="D67" s="34"/>
      <c r="E67" s="20"/>
      <c r="F67" s="34"/>
      <c r="G67" s="20"/>
      <c r="H67" s="279"/>
      <c r="I67" s="35" t="s">
        <v>14</v>
      </c>
      <c r="J67" s="39"/>
      <c r="K67" s="36" t="str">
        <f>IF($J$67="","",IF($J$67&lt;$AF$21,"16歳以上",IF($J$67&gt;=$AF$21,"年少","")))</f>
        <v/>
      </c>
      <c r="L67" s="35" t="s">
        <v>14</v>
      </c>
      <c r="M67" s="425"/>
      <c r="N67" s="426"/>
      <c r="O67" s="265"/>
      <c r="P67" s="328" t="s">
        <v>14</v>
      </c>
      <c r="Q67" s="138" t="str">
        <f>IF($J$67="","",IF($J$67&lt;$AF$21,"控除対象欄へ",IF($O$67&gt;580000,"対象外","対象")))</f>
        <v/>
      </c>
      <c r="R67" s="366"/>
      <c r="T67" s="447" t="s">
        <v>113</v>
      </c>
      <c r="U67" s="447"/>
      <c r="V67" s="447"/>
      <c r="W67" s="107"/>
      <c r="X67" s="265"/>
      <c r="Y67" s="262">
        <f>MAX(0,INT(($W$67-$X$67)/2))</f>
        <v>0</v>
      </c>
      <c r="AC67" s="171">
        <v>1100001</v>
      </c>
      <c r="AD67" s="171">
        <v>110000</v>
      </c>
      <c r="AE67" s="4">
        <v>70</v>
      </c>
      <c r="AF67" s="4">
        <v>71</v>
      </c>
      <c r="AG67" s="375">
        <f t="shared" si="13"/>
        <v>0</v>
      </c>
      <c r="AH67" s="1">
        <f t="shared" si="14"/>
        <v>0</v>
      </c>
      <c r="AK67" s="14">
        <v>25000</v>
      </c>
      <c r="AL67" s="42">
        <v>0.5</v>
      </c>
      <c r="AM67" s="14">
        <v>12500</v>
      </c>
    </row>
    <row r="68" spans="2:45" ht="12.75" customHeight="1">
      <c r="B68" s="573"/>
      <c r="C68" s="269" t="s">
        <v>280</v>
      </c>
      <c r="D68" s="34"/>
      <c r="E68" s="20"/>
      <c r="F68" s="34"/>
      <c r="G68" s="20"/>
      <c r="H68" s="279"/>
      <c r="I68" s="35" t="s">
        <v>14</v>
      </c>
      <c r="J68" s="39"/>
      <c r="K68" s="36" t="str">
        <f>IF($J$68="","",IF($J$68&lt;$AF$21,"16歳以上",IF($J$68&gt;=$AF$21,"年少","")))</f>
        <v/>
      </c>
      <c r="L68" s="35" t="s">
        <v>14</v>
      </c>
      <c r="M68" s="425"/>
      <c r="N68" s="426"/>
      <c r="O68" s="265"/>
      <c r="P68" s="328" t="s">
        <v>14</v>
      </c>
      <c r="Q68" s="138" t="str">
        <f>IF($J$68="","",IF($J$68&lt;$AF$21,"控除対象欄へ",IF($O$68&gt;580000,"対象外","対象")))</f>
        <v/>
      </c>
      <c r="R68" s="366"/>
      <c r="T68" s="575" t="s">
        <v>321</v>
      </c>
      <c r="U68" s="575"/>
      <c r="V68" s="263" t="s">
        <v>114</v>
      </c>
      <c r="W68" s="107"/>
      <c r="X68" s="265"/>
      <c r="Y68" s="262">
        <f>+($W$68-$X$68)</f>
        <v>0</v>
      </c>
      <c r="AC68" s="171">
        <v>1150001</v>
      </c>
      <c r="AD68" s="171">
        <v>60000</v>
      </c>
      <c r="AE68" s="4">
        <v>80</v>
      </c>
      <c r="AF68" s="4">
        <v>81</v>
      </c>
      <c r="AG68" s="375">
        <f t="shared" si="13"/>
        <v>0</v>
      </c>
      <c r="AH68" s="1">
        <f t="shared" si="14"/>
        <v>0</v>
      </c>
      <c r="AK68" s="14">
        <v>50000</v>
      </c>
      <c r="AL68" s="42">
        <v>0.25</v>
      </c>
      <c r="AM68" s="14">
        <v>25000</v>
      </c>
      <c r="AN68" s="67" t="s">
        <v>188</v>
      </c>
      <c r="AO68" s="14">
        <f>N50</f>
        <v>0</v>
      </c>
      <c r="AP68" s="41">
        <f>LOOKUP(AO68,AK71:AK74,AL71:AL74)</f>
        <v>1</v>
      </c>
      <c r="AQ68" s="2">
        <f>LOOKUP(AO68,AK71:AK74,AM71:AM74)</f>
        <v>0</v>
      </c>
      <c r="AR68" s="14">
        <f>MIN(40000,ROUNDUP(AO68*AP68+AQ68,0))</f>
        <v>0</v>
      </c>
    </row>
    <row r="69" spans="2:45" ht="12.75" customHeight="1">
      <c r="B69" s="574"/>
      <c r="C69" s="269" t="s">
        <v>281</v>
      </c>
      <c r="D69" s="34"/>
      <c r="E69" s="20"/>
      <c r="F69" s="34"/>
      <c r="G69" s="20"/>
      <c r="H69" s="279"/>
      <c r="I69" s="35" t="s">
        <v>14</v>
      </c>
      <c r="J69" s="39"/>
      <c r="K69" s="36" t="str">
        <f>IF($J$69="","",IF($J$69&lt;$AF$21,"16歳以上",IF($J$69&gt;=$AF$21,"年少","")))</f>
        <v/>
      </c>
      <c r="L69" s="35" t="s">
        <v>14</v>
      </c>
      <c r="M69" s="425"/>
      <c r="N69" s="426"/>
      <c r="O69" s="265"/>
      <c r="P69" s="328" t="s">
        <v>14</v>
      </c>
      <c r="Q69" s="138" t="str">
        <f>IF($J$69="","",IF($J$69&lt;$AF$21,"控除対象欄へ",IF($O$69&gt;580000,"対象外","対象")))</f>
        <v/>
      </c>
      <c r="R69" s="366"/>
      <c r="T69" s="575"/>
      <c r="U69" s="575"/>
      <c r="V69" s="263" t="s">
        <v>116</v>
      </c>
      <c r="W69" s="107"/>
      <c r="X69" s="265"/>
      <c r="Y69" s="571">
        <f>INT(((($W$69-$X$69)+($W$70-$X$70))/2))</f>
        <v>0</v>
      </c>
      <c r="AC69" s="171">
        <v>1200001</v>
      </c>
      <c r="AD69" s="171">
        <v>30000</v>
      </c>
      <c r="AE69" s="4">
        <v>90</v>
      </c>
      <c r="AF69" s="4">
        <v>91</v>
      </c>
      <c r="AG69" s="376">
        <f t="shared" si="13"/>
        <v>0</v>
      </c>
      <c r="AH69" s="378">
        <f t="shared" si="14"/>
        <v>0</v>
      </c>
      <c r="AK69" s="14">
        <v>100000</v>
      </c>
      <c r="AL69" s="42">
        <v>0</v>
      </c>
      <c r="AM69" s="14">
        <v>50000</v>
      </c>
      <c r="AN69" s="67"/>
      <c r="AS69" s="19"/>
    </row>
    <row r="70" spans="2:45" ht="12.75" customHeight="1">
      <c r="B70" s="285"/>
      <c r="C70" s="84"/>
      <c r="D70" s="84"/>
      <c r="E70" s="84"/>
      <c r="F70" s="84"/>
      <c r="G70" s="84"/>
      <c r="H70" s="84"/>
      <c r="I70" s="84"/>
      <c r="J70" s="84"/>
      <c r="K70" s="84"/>
      <c r="L70" s="84"/>
      <c r="M70" s="84"/>
      <c r="N70" s="84"/>
      <c r="O70" s="84"/>
      <c r="P70" s="84"/>
      <c r="Q70" s="84"/>
      <c r="R70" s="366"/>
      <c r="T70" s="447" t="s">
        <v>117</v>
      </c>
      <c r="U70" s="447"/>
      <c r="V70" s="447"/>
      <c r="W70" s="107"/>
      <c r="X70" s="265"/>
      <c r="Y70" s="571"/>
      <c r="AC70" s="171">
        <v>1230001</v>
      </c>
      <c r="AD70" s="171">
        <v>0</v>
      </c>
      <c r="AE70" s="4"/>
      <c r="AG70" s="375">
        <f>SUM(AG61:AG69)</f>
        <v>0</v>
      </c>
      <c r="AH70" s="377">
        <f>SUM(AH61:AH69)</f>
        <v>0</v>
      </c>
      <c r="AK70" s="12" t="s">
        <v>187</v>
      </c>
      <c r="AL70" s="65" t="s">
        <v>18</v>
      </c>
      <c r="AM70" s="66"/>
      <c r="AN70" s="67" t="s">
        <v>183</v>
      </c>
      <c r="AO70" s="14">
        <f>P51</f>
        <v>0</v>
      </c>
      <c r="AP70" s="41">
        <f>LOOKUP(AO70,AK66:AK69,AL66:AL69)</f>
        <v>1</v>
      </c>
      <c r="AQ70" s="2">
        <f>LOOKUP(AO70,AK66:AK69,AM66:AM69)</f>
        <v>0</v>
      </c>
      <c r="AR70" s="14">
        <f>ROUNDUP(AO70*AP70+AQ70,0)</f>
        <v>0</v>
      </c>
      <c r="AS70" s="19"/>
    </row>
    <row r="71" spans="2:45" ht="12.75" customHeight="1">
      <c r="B71" s="4" t="s">
        <v>365</v>
      </c>
      <c r="R71" s="366"/>
      <c r="T71" s="568"/>
      <c r="U71" s="568"/>
      <c r="V71" s="568"/>
      <c r="W71" s="569" t="s">
        <v>457</v>
      </c>
      <c r="X71" s="570"/>
      <c r="Y71" s="249">
        <f>IF(SUM($Y$61:$Y$70)&lt;0,0,SUM($Y$61:$Y$70))</f>
        <v>0</v>
      </c>
      <c r="AC71" s="1"/>
      <c r="AD71" s="4"/>
      <c r="AE71" s="4"/>
      <c r="AH71" s="4" t="s">
        <v>480</v>
      </c>
      <c r="AK71" s="14">
        <v>0</v>
      </c>
      <c r="AL71" s="42">
        <v>1</v>
      </c>
      <c r="AM71" s="14">
        <v>0</v>
      </c>
      <c r="AN71" s="67" t="s">
        <v>192</v>
      </c>
      <c r="AO71" s="14">
        <f>N51</f>
        <v>0</v>
      </c>
      <c r="AP71" s="41">
        <f>LOOKUP(AO71,AK71:AK74,AL71:AL74)</f>
        <v>1</v>
      </c>
      <c r="AQ71" s="2">
        <f>LOOKUP(AO71,AK71:AK74,AM71:AM74)</f>
        <v>0</v>
      </c>
      <c r="AR71" s="14">
        <f>ROUNDUP(AO71*AP71+AQ71,0)</f>
        <v>0</v>
      </c>
      <c r="AS71" s="19"/>
    </row>
    <row r="72" spans="2:45" ht="12.75" customHeight="1">
      <c r="B72" s="139" t="s">
        <v>366</v>
      </c>
      <c r="R72" s="366"/>
      <c r="T72" s="295"/>
      <c r="AE72" s="4"/>
      <c r="AH72" s="8"/>
      <c r="AK72" s="14">
        <v>20000</v>
      </c>
      <c r="AL72" s="42">
        <v>0.5</v>
      </c>
      <c r="AM72" s="14">
        <v>10000</v>
      </c>
      <c r="AQ72" s="3" t="s">
        <v>191</v>
      </c>
      <c r="AR72" s="50">
        <f>MAX(IF(AR70+AR71&lt;=40000,AR70+AR71,40000),AR70)</f>
        <v>0</v>
      </c>
      <c r="AS72" s="19"/>
    </row>
    <row r="73" spans="2:45" ht="12.75" customHeight="1">
      <c r="B73" s="566"/>
      <c r="C73" s="567"/>
      <c r="D73" s="455" t="s">
        <v>167</v>
      </c>
      <c r="E73" s="444"/>
      <c r="F73" s="430" t="s">
        <v>76</v>
      </c>
      <c r="G73" s="432"/>
      <c r="H73" s="12" t="s">
        <v>236</v>
      </c>
      <c r="I73" s="12" t="s">
        <v>85</v>
      </c>
      <c r="J73" s="21" t="s">
        <v>4</v>
      </c>
      <c r="K73" s="286"/>
      <c r="L73" s="287"/>
      <c r="M73" s="443" t="s">
        <v>7</v>
      </c>
      <c r="N73" s="444"/>
      <c r="O73" s="31" t="s">
        <v>145</v>
      </c>
      <c r="P73" s="288"/>
      <c r="Q73" s="32" t="s">
        <v>86</v>
      </c>
      <c r="R73" s="366"/>
      <c r="T73" s="4" t="s">
        <v>455</v>
      </c>
      <c r="AE73" s="4"/>
      <c r="AH73" s="8"/>
      <c r="AK73" s="14">
        <v>40000</v>
      </c>
      <c r="AL73" s="42">
        <v>0.25</v>
      </c>
      <c r="AM73" s="14">
        <v>20000</v>
      </c>
      <c r="AN73" s="2"/>
      <c r="AS73" s="19"/>
    </row>
    <row r="74" spans="2:45" ht="12.75" customHeight="1">
      <c r="B74" s="549" t="s">
        <v>367</v>
      </c>
      <c r="C74" s="550"/>
      <c r="D74" s="34"/>
      <c r="E74" s="20"/>
      <c r="F74" s="34"/>
      <c r="G74" s="20"/>
      <c r="H74" s="279"/>
      <c r="I74" s="35" t="s">
        <v>14</v>
      </c>
      <c r="J74" s="39"/>
      <c r="K74" s="286"/>
      <c r="L74" s="287"/>
      <c r="M74" s="425"/>
      <c r="N74" s="426"/>
      <c r="O74" s="265"/>
      <c r="P74" s="288"/>
      <c r="Q74" s="115" t="str">
        <f>IF($J$74="","",IF($O$74&gt;580000,"対象外","対象"))</f>
        <v/>
      </c>
      <c r="R74" s="366"/>
      <c r="S74" s="289" t="str">
        <f>IF(Q74="対象","上記Cに情報を入れてください。","")</f>
        <v/>
      </c>
      <c r="T74" s="4" t="s">
        <v>459</v>
      </c>
      <c r="V74" s="4" t="str">
        <f>+D17&amp;E17</f>
        <v/>
      </c>
      <c r="AB74" s="14">
        <f>+W76</f>
        <v>0</v>
      </c>
      <c r="AC74" s="4" t="s">
        <v>459</v>
      </c>
      <c r="AD74" s="4"/>
      <c r="AE74" s="4"/>
      <c r="AG74" s="4" t="s">
        <v>406</v>
      </c>
      <c r="AH74" s="8"/>
      <c r="AK74" s="14">
        <v>80000</v>
      </c>
      <c r="AL74" s="42">
        <v>0</v>
      </c>
      <c r="AM74" s="14">
        <v>40000</v>
      </c>
      <c r="AQ74" s="3" t="s">
        <v>194</v>
      </c>
      <c r="AR74" s="50">
        <f>IF(AR66+AR68+AR72&lt;=120000,AR66+AR68+AR72,120000)</f>
        <v>0</v>
      </c>
      <c r="AS74" s="19"/>
    </row>
    <row r="75" spans="2:45" ht="12.75" customHeight="1">
      <c r="B75" s="549" t="s">
        <v>364</v>
      </c>
      <c r="C75" s="550"/>
      <c r="D75" s="34"/>
      <c r="E75" s="20"/>
      <c r="F75" s="34"/>
      <c r="G75" s="20"/>
      <c r="H75" s="279"/>
      <c r="I75" s="35" t="s">
        <v>14</v>
      </c>
      <c r="J75" s="39"/>
      <c r="K75" s="286"/>
      <c r="L75" s="287"/>
      <c r="M75" s="425"/>
      <c r="N75" s="426"/>
      <c r="O75" s="265"/>
      <c r="P75" s="288"/>
      <c r="Q75" s="115" t="str">
        <f>IF($J$75="","",IF($O$75&gt;580000,"対象外","対象"))</f>
        <v/>
      </c>
      <c r="R75" s="366"/>
      <c r="S75" s="289" t="str">
        <f>IF(Q75="対象","上記Cに情報を入れてください。","")</f>
        <v/>
      </c>
      <c r="T75" s="446"/>
      <c r="U75" s="446"/>
      <c r="V75" s="446"/>
      <c r="W75" s="264" t="s">
        <v>102</v>
      </c>
      <c r="X75" s="266" t="s">
        <v>103</v>
      </c>
      <c r="Y75" s="248" t="s">
        <v>104</v>
      </c>
      <c r="AB75" s="27" t="s">
        <v>6</v>
      </c>
      <c r="AC75" s="28" t="s">
        <v>9</v>
      </c>
      <c r="AD75" s="19" t="s">
        <v>10</v>
      </c>
      <c r="AE75" s="19" t="s">
        <v>11</v>
      </c>
      <c r="AG75" s="8" t="s">
        <v>407</v>
      </c>
      <c r="AH75" s="8"/>
      <c r="AK75" s="2"/>
      <c r="AL75" s="41"/>
      <c r="AM75" s="2"/>
      <c r="AN75" s="2"/>
      <c r="AS75" s="19"/>
    </row>
    <row r="76" spans="2:45" ht="12.75" customHeight="1">
      <c r="B76" s="458" t="s">
        <v>363</v>
      </c>
      <c r="C76" s="496"/>
      <c r="D76" s="34"/>
      <c r="E76" s="20"/>
      <c r="F76" s="34"/>
      <c r="G76" s="20"/>
      <c r="H76" s="279"/>
      <c r="I76" s="35" t="s">
        <v>14</v>
      </c>
      <c r="J76" s="39"/>
      <c r="K76" s="286"/>
      <c r="L76" s="287"/>
      <c r="M76" s="425"/>
      <c r="N76" s="426"/>
      <c r="O76" s="265"/>
      <c r="P76" s="288"/>
      <c r="Q76" s="115" t="str">
        <f>IF($J$76="","",IF($J$76&lt;$AD$40,"対象外",IF($O$76&gt;580000,"対象外","対象")))</f>
        <v/>
      </c>
      <c r="R76" s="366"/>
      <c r="T76" s="447" t="s">
        <v>105</v>
      </c>
      <c r="U76" s="447"/>
      <c r="V76" s="447"/>
      <c r="W76" s="171"/>
      <c r="X76" s="165"/>
      <c r="Y76" s="262">
        <f>+AD79</f>
        <v>0</v>
      </c>
      <c r="AB76" s="2">
        <f>LOOKUP(AB74,$AK$11:$AK$15,$AL$11:$AL$15)</f>
        <v>1</v>
      </c>
      <c r="AC76" s="2">
        <f>LOOKUP(AB74,$AK$11:$AK$15,$AM$11:$AM$15)</f>
        <v>0</v>
      </c>
      <c r="AD76" s="2">
        <f>ROUNDDOWN((AB74-AC76)/AB76,0)</f>
        <v>0</v>
      </c>
      <c r="AE76" s="2">
        <f>AD76*AB76-AB74+AC76</f>
        <v>0</v>
      </c>
      <c r="AG76" s="8" t="s">
        <v>408</v>
      </c>
      <c r="AH76" s="8"/>
      <c r="AK76" s="16" t="s">
        <v>154</v>
      </c>
      <c r="AL76" s="17"/>
      <c r="AM76" s="18"/>
      <c r="AN76" s="2"/>
      <c r="AS76" s="19"/>
    </row>
    <row r="77" spans="2:45" ht="12.75" customHeight="1">
      <c r="B77" s="285"/>
      <c r="C77" s="285"/>
      <c r="D77" s="285"/>
      <c r="E77" s="285"/>
      <c r="F77" s="285"/>
      <c r="G77" s="285"/>
      <c r="H77" s="285"/>
      <c r="I77" s="285"/>
      <c r="J77" s="285"/>
      <c r="K77" s="285"/>
      <c r="L77" s="285"/>
      <c r="M77" s="285"/>
      <c r="N77" s="285"/>
      <c r="O77" s="285"/>
      <c r="P77" s="285"/>
      <c r="Q77" s="285"/>
      <c r="R77" s="366"/>
      <c r="T77" s="448" t="s">
        <v>330</v>
      </c>
      <c r="U77" s="449"/>
      <c r="V77" s="449"/>
      <c r="W77" s="368"/>
      <c r="X77" s="265"/>
      <c r="Y77" s="262">
        <f>($W$77-$X$77)</f>
        <v>0</v>
      </c>
      <c r="AB77" s="4" t="s">
        <v>13</v>
      </c>
      <c r="AC77" s="33">
        <f>AB74+AE76</f>
        <v>0</v>
      </c>
      <c r="AD77" s="4"/>
      <c r="AE77" s="4"/>
      <c r="AG77" s="8" t="s">
        <v>409</v>
      </c>
      <c r="AH77" s="8"/>
      <c r="AK77" s="12" t="s">
        <v>153</v>
      </c>
      <c r="AL77" s="65" t="s">
        <v>18</v>
      </c>
      <c r="AM77" s="66"/>
      <c r="AN77" s="67" t="s">
        <v>150</v>
      </c>
      <c r="AO77" s="14">
        <f>N52</f>
        <v>0</v>
      </c>
      <c r="AP77" s="41">
        <f>LOOKUP(AO77,AK78:AK78,AL78:AL78)</f>
        <v>1</v>
      </c>
      <c r="AQ77" s="2">
        <f>LOOKUP(AO77,AK78:AK78,AM78:AM78)</f>
        <v>0</v>
      </c>
      <c r="AR77" s="14">
        <f>MIN(50000,ROUNDUP(AO77*AP77+AQ77,0))</f>
        <v>0</v>
      </c>
      <c r="AS77" s="19"/>
    </row>
    <row r="78" spans="2:45" ht="12.75" customHeight="1">
      <c r="B78" s="4" t="s">
        <v>399</v>
      </c>
      <c r="R78" s="366"/>
      <c r="T78" s="568"/>
      <c r="U78" s="568"/>
      <c r="V78" s="568"/>
      <c r="W78" s="569" t="s">
        <v>458</v>
      </c>
      <c r="X78" s="570"/>
      <c r="Y78" s="249">
        <f>IF(SUM($Y$76:$Y$77)&lt;0,0,SUM($Y$76:$Y$77))</f>
        <v>0</v>
      </c>
      <c r="AB78" s="19" t="s">
        <v>17</v>
      </c>
      <c r="AC78" s="4" t="s">
        <v>18</v>
      </c>
      <c r="AD78" s="4" t="s">
        <v>19</v>
      </c>
      <c r="AE78" s="4"/>
      <c r="AG78" s="8" t="s">
        <v>410</v>
      </c>
      <c r="AH78" s="8"/>
      <c r="AK78" s="14">
        <v>0</v>
      </c>
      <c r="AL78" s="42">
        <v>1</v>
      </c>
      <c r="AM78" s="14">
        <v>0</v>
      </c>
      <c r="AN78" s="3"/>
      <c r="AQ78" s="2"/>
      <c r="AS78" s="19"/>
    </row>
    <row r="79" spans="2:45" ht="12.75" customHeight="1">
      <c r="B79" s="4" t="s">
        <v>389</v>
      </c>
      <c r="R79" s="366"/>
      <c r="AB79" s="41">
        <f>LOOKUP(AC77,$AK$19:$AK$29,$AL$19:$AL$29)</f>
        <v>1</v>
      </c>
      <c r="AC79" s="2">
        <f>IF(AC77&lt;$AK$20,-AC77,LOOKUP(AC77,$AK$19:$AK$29,$AM$19:$AM$29))</f>
        <v>0</v>
      </c>
      <c r="AD79" s="14">
        <f>ROUNDDOWN(AC77*AB79+AC79,0)</f>
        <v>0</v>
      </c>
      <c r="AE79" s="4"/>
      <c r="AG79" s="8" t="s">
        <v>411</v>
      </c>
      <c r="AK79" s="12" t="s">
        <v>152</v>
      </c>
      <c r="AL79" s="65" t="s">
        <v>18</v>
      </c>
      <c r="AM79" s="66"/>
      <c r="AN79" s="67" t="s">
        <v>155</v>
      </c>
      <c r="AO79" s="14">
        <f>P52</f>
        <v>0</v>
      </c>
      <c r="AP79" s="41">
        <f>LOOKUP(AO79,AK80:AK82,AL80:AL82)</f>
        <v>1</v>
      </c>
      <c r="AQ79" s="2">
        <f>LOOKUP(AO79,AK80:AK82,AM80:AM82)</f>
        <v>0</v>
      </c>
      <c r="AR79" s="14">
        <f>ROUNDUP(AO79*AP79+AQ79,0)</f>
        <v>0</v>
      </c>
      <c r="AS79" s="19"/>
    </row>
    <row r="80" spans="2:45" ht="12.75" customHeight="1">
      <c r="B80" s="4" t="s">
        <v>390</v>
      </c>
      <c r="R80" s="366"/>
      <c r="T80" s="4" t="s">
        <v>460</v>
      </c>
      <c r="V80" s="4" t="str">
        <f>+D18&amp;E18</f>
        <v/>
      </c>
      <c r="AB80" s="14">
        <f>+W82</f>
        <v>0</v>
      </c>
      <c r="AC80" s="4" t="s">
        <v>460</v>
      </c>
      <c r="AD80" s="4"/>
      <c r="AE80" s="4"/>
      <c r="AG80" s="8" t="s">
        <v>412</v>
      </c>
      <c r="AK80" s="14">
        <v>0</v>
      </c>
      <c r="AL80" s="42">
        <v>1</v>
      </c>
      <c r="AM80" s="14">
        <v>0</v>
      </c>
      <c r="AS80" s="19"/>
    </row>
    <row r="81" spans="2:45" ht="12.75" customHeight="1">
      <c r="B81" s="4" t="s">
        <v>391</v>
      </c>
      <c r="O81"/>
      <c r="T81" s="446"/>
      <c r="U81" s="446"/>
      <c r="V81" s="446"/>
      <c r="W81" s="264" t="s">
        <v>102</v>
      </c>
      <c r="X81" s="266" t="s">
        <v>103</v>
      </c>
      <c r="Y81" s="248" t="s">
        <v>104</v>
      </c>
      <c r="AB81" s="27" t="s">
        <v>6</v>
      </c>
      <c r="AC81" s="28" t="s">
        <v>9</v>
      </c>
      <c r="AD81" s="19" t="s">
        <v>10</v>
      </c>
      <c r="AE81" s="19" t="s">
        <v>11</v>
      </c>
      <c r="AG81" s="8" t="s">
        <v>413</v>
      </c>
      <c r="AK81" s="14">
        <v>10000</v>
      </c>
      <c r="AL81" s="42">
        <v>0.5</v>
      </c>
      <c r="AM81" s="14">
        <v>5000</v>
      </c>
      <c r="AN81" s="2"/>
      <c r="AQ81" s="3" t="s">
        <v>0</v>
      </c>
      <c r="AR81" s="50">
        <f>IF(AR77+AR79&lt;=50000,AR77+AR79,50000)</f>
        <v>0</v>
      </c>
      <c r="AS81" s="19"/>
    </row>
    <row r="82" spans="2:45" ht="12.75" customHeight="1">
      <c r="B82" s="4" t="s">
        <v>392</v>
      </c>
      <c r="T82" s="447" t="s">
        <v>105</v>
      </c>
      <c r="U82" s="447"/>
      <c r="V82" s="447"/>
      <c r="W82" s="171"/>
      <c r="X82" s="165"/>
      <c r="Y82" s="262">
        <f>+AD85</f>
        <v>0</v>
      </c>
      <c r="AB82" s="2">
        <f>LOOKUP(AB80,$AK$11:$AK$15,$AL$11:$AL$15)</f>
        <v>1</v>
      </c>
      <c r="AC82" s="2">
        <f>LOOKUP(AB80,$AK$11:$AK$15,$AM$11:$AM$15)</f>
        <v>0</v>
      </c>
      <c r="AD82" s="2">
        <f>ROUNDDOWN((AB80-AC82)/AB82,0)</f>
        <v>0</v>
      </c>
      <c r="AE82" s="2">
        <f>AD82*AB82-AB80+AC82</f>
        <v>0</v>
      </c>
      <c r="AG82" s="8" t="s">
        <v>414</v>
      </c>
      <c r="AK82" s="14">
        <v>20000</v>
      </c>
      <c r="AL82" s="42">
        <v>0</v>
      </c>
      <c r="AM82" s="14">
        <v>15000</v>
      </c>
      <c r="AN82" s="2"/>
      <c r="AS82" s="19"/>
    </row>
    <row r="83" spans="2:45" ht="12.75" customHeight="1">
      <c r="B83" s="4" t="s">
        <v>393</v>
      </c>
      <c r="T83" s="448" t="s">
        <v>330</v>
      </c>
      <c r="U83" s="449"/>
      <c r="V83" s="449"/>
      <c r="W83" s="368"/>
      <c r="X83" s="265"/>
      <c r="Y83" s="262">
        <f>($W$83-$X$83)</f>
        <v>0</v>
      </c>
      <c r="AB83" s="4" t="s">
        <v>13</v>
      </c>
      <c r="AC83" s="33">
        <f>AB80+AE82</f>
        <v>0</v>
      </c>
      <c r="AD83" s="4"/>
      <c r="AE83" s="4"/>
      <c r="AG83" s="8" t="s">
        <v>415</v>
      </c>
      <c r="AK83" s="2"/>
      <c r="AL83" s="41"/>
      <c r="AM83" s="2"/>
      <c r="AN83" s="2"/>
      <c r="AS83" s="19"/>
    </row>
    <row r="84" spans="2:45" ht="12.75" customHeight="1">
      <c r="B84" s="4" t="s">
        <v>394</v>
      </c>
      <c r="T84" s="568"/>
      <c r="U84" s="568"/>
      <c r="V84" s="568"/>
      <c r="W84" s="569" t="s">
        <v>461</v>
      </c>
      <c r="X84" s="570"/>
      <c r="Y84" s="249">
        <f>IF(SUM($Y$82:$Y$83)&lt;0,0,SUM($Y$82:$Y$83))</f>
        <v>0</v>
      </c>
      <c r="AB84" s="19" t="s">
        <v>17</v>
      </c>
      <c r="AC84" s="4" t="s">
        <v>18</v>
      </c>
      <c r="AD84" s="4" t="s">
        <v>19</v>
      </c>
      <c r="AE84" s="4"/>
      <c r="AG84" s="8" t="s">
        <v>416</v>
      </c>
      <c r="AK84" s="16" t="s">
        <v>42</v>
      </c>
      <c r="AL84" s="17"/>
      <c r="AM84" s="18"/>
      <c r="AO84" s="19" t="s">
        <v>43</v>
      </c>
      <c r="AS84" s="19"/>
    </row>
    <row r="85" spans="2:45" ht="12.75" customHeight="1">
      <c r="B85" s="4" t="s">
        <v>466</v>
      </c>
      <c r="AB85" s="41">
        <f>LOOKUP(AC83,$AK$19:$AK$29,$AL$19:$AL$29)</f>
        <v>1</v>
      </c>
      <c r="AC85" s="2">
        <f>IF(AC83&lt;$AK$20,-AC83,LOOKUP(AC83,$AK$19:$AK$29,$AM$19:$AM$29))</f>
        <v>0</v>
      </c>
      <c r="AD85" s="14">
        <f>ROUNDDOWN(AC83*AB85+AC85,0)</f>
        <v>0</v>
      </c>
      <c r="AE85" s="4"/>
      <c r="AG85" s="8" t="s">
        <v>417</v>
      </c>
      <c r="AK85" s="12" t="s">
        <v>124</v>
      </c>
      <c r="AL85" s="304" t="s">
        <v>44</v>
      </c>
      <c r="AM85" s="66" t="s">
        <v>18</v>
      </c>
      <c r="AO85" s="14">
        <f>X48</f>
        <v>0</v>
      </c>
      <c r="AP85" s="41">
        <f>LOOKUP(AO85,AK86:AK93,AL86:AL93)</f>
        <v>0.05</v>
      </c>
      <c r="AQ85" s="2">
        <f>LOOKUP(AO85,AK86:AK93,AM86:AM93)</f>
        <v>0</v>
      </c>
      <c r="AR85" s="91">
        <f>AO85*AP85-AQ85</f>
        <v>0</v>
      </c>
      <c r="AS85" s="19"/>
    </row>
    <row r="86" spans="2:45" ht="12.75" customHeight="1">
      <c r="T86" s="4" t="s">
        <v>462</v>
      </c>
      <c r="V86" s="4" t="str">
        <f>+D19&amp;E19</f>
        <v/>
      </c>
      <c r="AB86" s="14">
        <f>+W88</f>
        <v>0</v>
      </c>
      <c r="AC86" s="4" t="s">
        <v>462</v>
      </c>
      <c r="AD86" s="4"/>
      <c r="AE86" s="4"/>
      <c r="AG86" s="8" t="s">
        <v>418</v>
      </c>
      <c r="AK86" s="14">
        <v>0</v>
      </c>
      <c r="AL86" s="42">
        <v>0.05</v>
      </c>
      <c r="AM86" s="14">
        <v>0</v>
      </c>
      <c r="AS86" s="19"/>
    </row>
    <row r="87" spans="2:45" ht="12.75" customHeight="1">
      <c r="B87" s="139" t="s">
        <v>475</v>
      </c>
      <c r="T87" s="446"/>
      <c r="U87" s="446"/>
      <c r="V87" s="446"/>
      <c r="W87" s="264" t="s">
        <v>102</v>
      </c>
      <c r="X87" s="266" t="s">
        <v>103</v>
      </c>
      <c r="Y87" s="248" t="s">
        <v>104</v>
      </c>
      <c r="AB87" s="27" t="s">
        <v>6</v>
      </c>
      <c r="AC87" s="28" t="s">
        <v>9</v>
      </c>
      <c r="AD87" s="19" t="s">
        <v>10</v>
      </c>
      <c r="AE87" s="19" t="s">
        <v>11</v>
      </c>
      <c r="AG87" s="8" t="s">
        <v>419</v>
      </c>
      <c r="AK87" s="14">
        <v>1950001</v>
      </c>
      <c r="AL87" s="42">
        <v>0.1</v>
      </c>
      <c r="AM87" s="14">
        <v>97500</v>
      </c>
      <c r="AQ87" s="3" t="s">
        <v>40</v>
      </c>
      <c r="AR87" s="14"/>
      <c r="AS87" s="19"/>
    </row>
    <row r="88" spans="2:45" ht="12.75" customHeight="1">
      <c r="B88" s="139" t="s">
        <v>395</v>
      </c>
      <c r="T88" s="447" t="s">
        <v>105</v>
      </c>
      <c r="U88" s="447"/>
      <c r="V88" s="447"/>
      <c r="W88" s="171"/>
      <c r="X88" s="165"/>
      <c r="Y88" s="262">
        <f>+AD91</f>
        <v>0</v>
      </c>
      <c r="AB88" s="2">
        <f>LOOKUP(AB86,$AK$11:$AK$15,$AL$11:$AL$15)</f>
        <v>1</v>
      </c>
      <c r="AC88" s="2">
        <f>LOOKUP(AB86,$AK$11:$AK$15,$AM$11:$AM$15)</f>
        <v>0</v>
      </c>
      <c r="AD88" s="2">
        <f>ROUNDDOWN((AB86-AC88)/AB88,0)</f>
        <v>0</v>
      </c>
      <c r="AE88" s="2">
        <f>AD88*AB88-AB86+AC88</f>
        <v>0</v>
      </c>
      <c r="AG88" s="4" t="s">
        <v>420</v>
      </c>
      <c r="AK88" s="14">
        <v>3300001</v>
      </c>
      <c r="AL88" s="42">
        <v>0.2</v>
      </c>
      <c r="AM88" s="14">
        <v>427500</v>
      </c>
      <c r="AR88" s="2"/>
      <c r="AS88" s="19"/>
    </row>
    <row r="89" spans="2:45" ht="12.75" customHeight="1">
      <c r="B89" s="139" t="s">
        <v>396</v>
      </c>
      <c r="T89" s="448" t="s">
        <v>330</v>
      </c>
      <c r="U89" s="449"/>
      <c r="V89" s="449"/>
      <c r="W89" s="368"/>
      <c r="X89" s="265"/>
      <c r="Y89" s="262">
        <f>($W$89-$X$89)</f>
        <v>0</v>
      </c>
      <c r="AB89" s="4" t="s">
        <v>13</v>
      </c>
      <c r="AC89" s="33">
        <f>AB86+AE88</f>
        <v>0</v>
      </c>
      <c r="AD89" s="4"/>
      <c r="AE89" s="4"/>
      <c r="AG89" s="4" t="s">
        <v>421</v>
      </c>
      <c r="AK89" s="14">
        <v>6950001</v>
      </c>
      <c r="AL89" s="42">
        <v>0.23</v>
      </c>
      <c r="AM89" s="14">
        <v>636000</v>
      </c>
      <c r="AQ89" s="67" t="s">
        <v>198</v>
      </c>
      <c r="AR89" s="14">
        <f>IF(AR85-AR87&gt;=0,AR85-AR87,0)</f>
        <v>0</v>
      </c>
      <c r="AS89" s="19"/>
    </row>
    <row r="90" spans="2:45" ht="12.75" customHeight="1">
      <c r="B90" s="139" t="s">
        <v>397</v>
      </c>
      <c r="T90" s="568"/>
      <c r="U90" s="568"/>
      <c r="V90" s="568"/>
      <c r="W90" s="569" t="s">
        <v>463</v>
      </c>
      <c r="X90" s="570"/>
      <c r="Y90" s="249">
        <f>IF(SUM($Y$88:$Y$89)&lt;0,0,SUM($Y$88:$Y$89))</f>
        <v>0</v>
      </c>
      <c r="AB90" s="19" t="s">
        <v>17</v>
      </c>
      <c r="AC90" s="4" t="s">
        <v>18</v>
      </c>
      <c r="AD90" s="4" t="s">
        <v>19</v>
      </c>
      <c r="AE90" s="4"/>
      <c r="AG90" s="4" t="s">
        <v>422</v>
      </c>
      <c r="AK90" s="14">
        <v>9000001</v>
      </c>
      <c r="AL90" s="42">
        <v>0.33</v>
      </c>
      <c r="AM90" s="14">
        <v>1536000</v>
      </c>
      <c r="AS90" s="19"/>
    </row>
    <row r="91" spans="2:45" ht="12.75" customHeight="1">
      <c r="B91" s="139" t="s">
        <v>398</v>
      </c>
      <c r="AB91" s="41">
        <f>LOOKUP(AC89,$AK$19:$AK$29,$AL$19:$AL$29)</f>
        <v>1</v>
      </c>
      <c r="AC91" s="2">
        <f>IF(AC89&lt;$AK$20,-AC89,LOOKUP(AC89,$AK$19:$AK$29,$AM$19:$AM$29))</f>
        <v>0</v>
      </c>
      <c r="AD91" s="14">
        <f>ROUNDDOWN(AC89*AB91+AC91,0)</f>
        <v>0</v>
      </c>
      <c r="AE91" s="4"/>
      <c r="AG91" s="4" t="s">
        <v>423</v>
      </c>
      <c r="AK91" s="68">
        <v>18000001</v>
      </c>
      <c r="AL91" s="42">
        <v>0.4</v>
      </c>
      <c r="AM91" s="14">
        <v>2796000</v>
      </c>
      <c r="AS91" s="19"/>
    </row>
    <row r="92" spans="2:45" ht="12.75" customHeight="1">
      <c r="T92" s="4" t="s">
        <v>464</v>
      </c>
      <c r="V92" s="4" t="str">
        <f>+D20&amp;E20</f>
        <v/>
      </c>
      <c r="AB92" s="14">
        <f>+W94</f>
        <v>0</v>
      </c>
      <c r="AC92" s="4" t="s">
        <v>464</v>
      </c>
      <c r="AD92" s="4"/>
      <c r="AE92" s="4"/>
      <c r="AG92" s="4" t="s">
        <v>424</v>
      </c>
      <c r="AK92" s="151">
        <v>40000001</v>
      </c>
      <c r="AL92" s="145">
        <v>0.45</v>
      </c>
      <c r="AM92" s="144">
        <v>4796000</v>
      </c>
      <c r="AS92" s="19"/>
    </row>
    <row r="93" spans="2:45" ht="12.75" customHeight="1">
      <c r="T93" s="446"/>
      <c r="U93" s="446"/>
      <c r="V93" s="446"/>
      <c r="W93" s="264" t="s">
        <v>102</v>
      </c>
      <c r="X93" s="266" t="s">
        <v>103</v>
      </c>
      <c r="Y93" s="248" t="s">
        <v>104</v>
      </c>
      <c r="AB93" s="27" t="s">
        <v>6</v>
      </c>
      <c r="AC93" s="28" t="s">
        <v>9</v>
      </c>
      <c r="AD93" s="19" t="s">
        <v>10</v>
      </c>
      <c r="AE93" s="19" t="s">
        <v>11</v>
      </c>
      <c r="AG93" s="4" t="s">
        <v>425</v>
      </c>
      <c r="AK93" s="144">
        <v>999999999</v>
      </c>
      <c r="AL93" s="145">
        <f>+AL92</f>
        <v>0.45</v>
      </c>
      <c r="AM93" s="144">
        <f>+AM92</f>
        <v>4796000</v>
      </c>
      <c r="AP93" s="19"/>
      <c r="AS93" s="19"/>
    </row>
    <row r="94" spans="2:45" ht="12.75" customHeight="1">
      <c r="T94" s="447" t="s">
        <v>105</v>
      </c>
      <c r="U94" s="447"/>
      <c r="V94" s="447"/>
      <c r="W94" s="171"/>
      <c r="X94" s="165"/>
      <c r="Y94" s="262">
        <f>+AD97</f>
        <v>0</v>
      </c>
      <c r="AB94" s="2">
        <f>LOOKUP(AB92,$AK$11:$AK$15,$AL$11:$AL$15)</f>
        <v>1</v>
      </c>
      <c r="AC94" s="2">
        <f>LOOKUP(AB92,$AK$11:$AK$15,$AM$11:$AM$15)</f>
        <v>0</v>
      </c>
      <c r="AD94" s="2">
        <f>ROUNDDOWN((AB92-AC94)/AB94,0)</f>
        <v>0</v>
      </c>
      <c r="AE94" s="2">
        <f>AD94*AB94-AB92+AC94</f>
        <v>0</v>
      </c>
      <c r="AG94" s="4" t="s">
        <v>426</v>
      </c>
      <c r="AK94" s="16" t="s">
        <v>137</v>
      </c>
      <c r="AL94" s="17"/>
      <c r="AM94" s="18"/>
      <c r="AO94" s="19" t="s">
        <v>43</v>
      </c>
      <c r="AS94" s="19"/>
    </row>
    <row r="95" spans="2:45" ht="12.75" customHeight="1">
      <c r="T95" s="448" t="s">
        <v>330</v>
      </c>
      <c r="U95" s="449"/>
      <c r="V95" s="449"/>
      <c r="W95" s="368"/>
      <c r="X95" s="265"/>
      <c r="Y95" s="262">
        <f>($W$95-$X$95)</f>
        <v>0</v>
      </c>
      <c r="AB95" s="4" t="s">
        <v>13</v>
      </c>
      <c r="AC95" s="33">
        <f>AB92+AE94</f>
        <v>0</v>
      </c>
      <c r="AD95" s="4"/>
      <c r="AE95" s="4"/>
      <c r="AG95" s="4" t="s">
        <v>427</v>
      </c>
      <c r="AK95" s="12" t="s">
        <v>124</v>
      </c>
      <c r="AL95" s="304" t="s">
        <v>44</v>
      </c>
      <c r="AM95" s="66" t="s">
        <v>18</v>
      </c>
      <c r="AO95" s="14">
        <f>AO85</f>
        <v>0</v>
      </c>
      <c r="AP95" s="41">
        <f>LOOKUP(AO95,AK96:AK99,AL96:AL99)</f>
        <v>0.1</v>
      </c>
      <c r="AQ95" s="2">
        <f>LOOKUP(AO95,AK96:AK99,AM96:AM99)</f>
        <v>0</v>
      </c>
      <c r="AR95" s="14">
        <f>AO95*AP95-AQ95</f>
        <v>0</v>
      </c>
      <c r="AS95" s="19"/>
    </row>
    <row r="96" spans="2:45" ht="12.75" customHeight="1">
      <c r="T96" s="568"/>
      <c r="U96" s="568"/>
      <c r="V96" s="568"/>
      <c r="W96" s="569" t="s">
        <v>465</v>
      </c>
      <c r="X96" s="570"/>
      <c r="Y96" s="249">
        <f>IF(SUM($Y$94:$Y$95)&lt;0,0,SUM($Y$94:$Y$95))</f>
        <v>0</v>
      </c>
      <c r="AB96" s="19" t="s">
        <v>17</v>
      </c>
      <c r="AC96" s="4" t="s">
        <v>18</v>
      </c>
      <c r="AD96" s="4" t="s">
        <v>19</v>
      </c>
      <c r="AE96" s="4"/>
      <c r="AG96" s="4" t="s">
        <v>428</v>
      </c>
      <c r="AK96" s="14">
        <v>0</v>
      </c>
      <c r="AL96" s="42">
        <v>0.1</v>
      </c>
      <c r="AM96" s="14">
        <v>0</v>
      </c>
      <c r="AO96" s="4" t="s">
        <v>138</v>
      </c>
      <c r="AP96" s="19"/>
      <c r="AR96" s="2">
        <v>5000</v>
      </c>
      <c r="AS96" s="19"/>
    </row>
    <row r="97" spans="20:45" ht="12.75" customHeight="1">
      <c r="AB97" s="41">
        <f>LOOKUP(AC95,$AK$19:$AK$29,$AL$19:$AL$29)</f>
        <v>1</v>
      </c>
      <c r="AC97" s="2">
        <f>IF(AC95&lt;$AK$20,-AC95,LOOKUP(AC95,$AK$19:$AK$29,$AM$19:$AM$29))</f>
        <v>0</v>
      </c>
      <c r="AD97" s="14">
        <f>ROUNDDOWN(AC95*AB97+AC97,0)</f>
        <v>0</v>
      </c>
      <c r="AE97" s="4"/>
      <c r="AG97" s="4" t="s">
        <v>429</v>
      </c>
      <c r="AK97" s="14">
        <v>2000001</v>
      </c>
      <c r="AL97" s="42">
        <v>0.1</v>
      </c>
      <c r="AM97" s="14">
        <v>0</v>
      </c>
      <c r="AP97" s="19"/>
      <c r="AR97" s="50">
        <f>SUM(AR95:AR96)</f>
        <v>5000</v>
      </c>
      <c r="AS97" s="19"/>
    </row>
    <row r="98" spans="20:45" ht="12.75" customHeight="1">
      <c r="T98" s="4" t="s">
        <v>471</v>
      </c>
      <c r="V98" s="4" t="str">
        <f>+D61&amp;E61</f>
        <v/>
      </c>
      <c r="AB98" s="14">
        <f>+W100</f>
        <v>0</v>
      </c>
      <c r="AC98" s="4" t="s">
        <v>464</v>
      </c>
      <c r="AD98" s="4"/>
      <c r="AE98" s="4"/>
      <c r="AG98" s="4" t="s">
        <v>430</v>
      </c>
      <c r="AK98" s="14">
        <v>7000001</v>
      </c>
      <c r="AL98" s="42">
        <v>0.1</v>
      </c>
      <c r="AM98" s="14">
        <v>0</v>
      </c>
      <c r="AP98" s="19"/>
      <c r="AS98" s="19"/>
    </row>
    <row r="99" spans="20:45" ht="12.75" customHeight="1">
      <c r="T99" s="446"/>
      <c r="U99" s="446"/>
      <c r="V99" s="446"/>
      <c r="W99" s="264" t="s">
        <v>102</v>
      </c>
      <c r="X99" s="266" t="s">
        <v>103</v>
      </c>
      <c r="Y99" s="248" t="s">
        <v>104</v>
      </c>
      <c r="AB99" s="27" t="s">
        <v>6</v>
      </c>
      <c r="AC99" s="28" t="s">
        <v>9</v>
      </c>
      <c r="AD99" s="19" t="s">
        <v>10</v>
      </c>
      <c r="AE99" s="19" t="s">
        <v>11</v>
      </c>
      <c r="AG99" s="4" t="s">
        <v>431</v>
      </c>
      <c r="AK99" s="14">
        <v>999999999</v>
      </c>
      <c r="AL99" s="42">
        <v>0.1</v>
      </c>
      <c r="AM99" s="14">
        <v>0</v>
      </c>
      <c r="AP99" s="19"/>
      <c r="AS99" s="19"/>
    </row>
    <row r="100" spans="20:45" ht="12.75" customHeight="1">
      <c r="T100" s="447" t="s">
        <v>105</v>
      </c>
      <c r="U100" s="447"/>
      <c r="V100" s="447"/>
      <c r="W100" s="171"/>
      <c r="X100" s="165"/>
      <c r="Y100" s="262">
        <f>+AD103</f>
        <v>0</v>
      </c>
      <c r="AB100" s="2">
        <f>LOOKUP(AB98,$AK$11:$AK$15,$AL$11:$AL$15)</f>
        <v>1</v>
      </c>
      <c r="AC100" s="2">
        <f>LOOKUP(AB98,$AK$11:$AK$15,$AM$11:$AM$15)</f>
        <v>0</v>
      </c>
      <c r="AD100" s="2">
        <f>ROUNDDOWN((AB98-AC100)/AB100,0)</f>
        <v>0</v>
      </c>
      <c r="AE100" s="2">
        <f>AD100*AB100-AB98+AC100</f>
        <v>0</v>
      </c>
      <c r="AG100" s="4" t="s">
        <v>432</v>
      </c>
      <c r="AS100" s="19"/>
    </row>
    <row r="101" spans="20:45" ht="12.75" customHeight="1">
      <c r="T101" s="448" t="s">
        <v>330</v>
      </c>
      <c r="U101" s="449"/>
      <c r="V101" s="449"/>
      <c r="W101" s="368"/>
      <c r="X101" s="265"/>
      <c r="Y101" s="262">
        <f>($W$101-$X$101)</f>
        <v>0</v>
      </c>
      <c r="AB101" s="4" t="s">
        <v>13</v>
      </c>
      <c r="AC101" s="33">
        <f>AB98+AE100</f>
        <v>0</v>
      </c>
      <c r="AD101" s="4"/>
      <c r="AE101" s="4"/>
    </row>
    <row r="102" spans="20:45" ht="12.75" customHeight="1">
      <c r="T102" s="568"/>
      <c r="U102" s="568"/>
      <c r="V102" s="568"/>
      <c r="W102" s="569" t="s">
        <v>482</v>
      </c>
      <c r="X102" s="570"/>
      <c r="Y102" s="249">
        <f>IF(SUM($Y$100:$Y$101)&lt;0,0,SUM($Y$100:$Y$101))</f>
        <v>0</v>
      </c>
      <c r="AB102" s="19" t="s">
        <v>17</v>
      </c>
      <c r="AC102" s="4" t="s">
        <v>18</v>
      </c>
      <c r="AD102" s="4" t="s">
        <v>19</v>
      </c>
      <c r="AE102" s="4"/>
    </row>
    <row r="103" spans="20:45" ht="12.75" customHeight="1">
      <c r="AB103" s="41">
        <f>LOOKUP(AC101,$AK$19:$AK$29,$AL$19:$AL$29)</f>
        <v>1</v>
      </c>
      <c r="AC103" s="2">
        <f>IF(AC101&lt;$AK$20,-AC101,LOOKUP(AC101,$AK$19:$AK$29,$AM$19:$AM$29))</f>
        <v>0</v>
      </c>
      <c r="AD103" s="14">
        <f>ROUNDDOWN(AC101*AB103+AC103,0)</f>
        <v>0</v>
      </c>
      <c r="AE103" s="4"/>
    </row>
    <row r="104" spans="20:45" ht="12.75" customHeight="1">
      <c r="T104" s="4" t="s">
        <v>472</v>
      </c>
      <c r="V104" s="4" t="str">
        <f>+D62&amp;E62</f>
        <v/>
      </c>
      <c r="AB104" s="14">
        <f>+W106</f>
        <v>0</v>
      </c>
      <c r="AC104" s="4" t="s">
        <v>464</v>
      </c>
      <c r="AD104" s="4"/>
      <c r="AE104" s="4"/>
    </row>
    <row r="105" spans="20:45" ht="12.75" customHeight="1">
      <c r="T105" s="446"/>
      <c r="U105" s="446"/>
      <c r="V105" s="446"/>
      <c r="W105" s="264" t="s">
        <v>102</v>
      </c>
      <c r="X105" s="266" t="s">
        <v>103</v>
      </c>
      <c r="Y105" s="248" t="s">
        <v>104</v>
      </c>
      <c r="AB105" s="27" t="s">
        <v>6</v>
      </c>
      <c r="AC105" s="28" t="s">
        <v>9</v>
      </c>
      <c r="AD105" s="19" t="s">
        <v>10</v>
      </c>
      <c r="AE105" s="19" t="s">
        <v>11</v>
      </c>
    </row>
    <row r="106" spans="20:45" ht="12.75" customHeight="1">
      <c r="T106" s="447" t="s">
        <v>105</v>
      </c>
      <c r="U106" s="447"/>
      <c r="V106" s="447"/>
      <c r="W106" s="171"/>
      <c r="X106" s="165"/>
      <c r="Y106" s="262">
        <f>+AD109</f>
        <v>0</v>
      </c>
      <c r="AB106" s="2">
        <f>LOOKUP(AB104,$AK$11:$AK$15,$AL$11:$AL$15)</f>
        <v>1</v>
      </c>
      <c r="AC106" s="2">
        <f>LOOKUP(AB104,$AK$11:$AK$15,$AM$11:$AM$15)</f>
        <v>0</v>
      </c>
      <c r="AD106" s="2">
        <f>ROUNDDOWN((AB104-AC106)/AB106,0)</f>
        <v>0</v>
      </c>
      <c r="AE106" s="2">
        <f>AD106*AB106-AB104+AC106</f>
        <v>0</v>
      </c>
    </row>
    <row r="107" spans="20:45" ht="12.75" customHeight="1">
      <c r="T107" s="448" t="s">
        <v>330</v>
      </c>
      <c r="U107" s="449"/>
      <c r="V107" s="449"/>
      <c r="W107" s="368"/>
      <c r="X107" s="265"/>
      <c r="Y107" s="262">
        <f>($W$107-$X$107)</f>
        <v>0</v>
      </c>
      <c r="AB107" s="4" t="s">
        <v>13</v>
      </c>
      <c r="AC107" s="33">
        <f>AB104+AE106</f>
        <v>0</v>
      </c>
      <c r="AD107" s="4"/>
      <c r="AE107" s="4"/>
    </row>
    <row r="108" spans="20:45" ht="12.75" customHeight="1">
      <c r="T108" s="568"/>
      <c r="U108" s="568"/>
      <c r="V108" s="568"/>
      <c r="W108" s="569" t="s">
        <v>483</v>
      </c>
      <c r="X108" s="570"/>
      <c r="Y108" s="249">
        <f>IF(SUM($Y$106:$Y$107)&lt;0,0,SUM($Y$106:$Y$107))</f>
        <v>0</v>
      </c>
      <c r="AB108" s="19" t="s">
        <v>17</v>
      </c>
      <c r="AC108" s="4" t="s">
        <v>18</v>
      </c>
      <c r="AD108" s="4" t="s">
        <v>19</v>
      </c>
      <c r="AE108" s="4"/>
    </row>
    <row r="109" spans="20:45" ht="12.75" customHeight="1">
      <c r="AB109" s="41">
        <f>LOOKUP(AC107,$AK$19:$AK$29,$AL$19:$AL$29)</f>
        <v>1</v>
      </c>
      <c r="AC109" s="2">
        <f>IF(AC107&lt;$AK$20,-AC107,LOOKUP(AC107,$AK$19:$AK$29,$AM$19:$AM$29))</f>
        <v>0</v>
      </c>
      <c r="AD109" s="14">
        <f>ROUNDDOWN(AC107*AB109+AC109,0)</f>
        <v>0</v>
      </c>
      <c r="AE109" s="4"/>
    </row>
    <row r="110" spans="20:45" ht="12.75" customHeight="1">
      <c r="T110" s="4" t="s">
        <v>473</v>
      </c>
      <c r="V110" s="4" t="str">
        <f>+D62&amp;E62</f>
        <v/>
      </c>
      <c r="AB110" s="14">
        <f>+W112</f>
        <v>0</v>
      </c>
      <c r="AC110" s="4" t="s">
        <v>464</v>
      </c>
      <c r="AD110" s="4"/>
      <c r="AE110" s="4"/>
    </row>
    <row r="111" spans="20:45" ht="12.75" customHeight="1">
      <c r="T111" s="446"/>
      <c r="U111" s="446"/>
      <c r="V111" s="446"/>
      <c r="W111" s="264" t="s">
        <v>102</v>
      </c>
      <c r="X111" s="266" t="s">
        <v>103</v>
      </c>
      <c r="Y111" s="248" t="s">
        <v>104</v>
      </c>
      <c r="AB111" s="27" t="s">
        <v>6</v>
      </c>
      <c r="AC111" s="28" t="s">
        <v>9</v>
      </c>
      <c r="AD111" s="19" t="s">
        <v>10</v>
      </c>
      <c r="AE111" s="19" t="s">
        <v>11</v>
      </c>
    </row>
    <row r="112" spans="20:45" ht="12.75" customHeight="1">
      <c r="T112" s="447" t="s">
        <v>105</v>
      </c>
      <c r="U112" s="447"/>
      <c r="V112" s="447"/>
      <c r="W112" s="171"/>
      <c r="X112" s="165"/>
      <c r="Y112" s="262">
        <f>+AD115</f>
        <v>0</v>
      </c>
      <c r="AB112" s="2">
        <f>LOOKUP(AB110,$AK$11:$AK$15,$AL$11:$AL$15)</f>
        <v>1</v>
      </c>
      <c r="AC112" s="2">
        <f>LOOKUP(AB110,$AK$11:$AK$15,$AM$11:$AM$15)</f>
        <v>0</v>
      </c>
      <c r="AD112" s="2">
        <f>ROUNDDOWN((AB110-AC112)/AB112,0)</f>
        <v>0</v>
      </c>
      <c r="AE112" s="2">
        <f>AD112*AB112-AB110+AC112</f>
        <v>0</v>
      </c>
    </row>
    <row r="113" spans="20:34" ht="12.75" customHeight="1">
      <c r="T113" s="448" t="s">
        <v>330</v>
      </c>
      <c r="U113" s="449"/>
      <c r="V113" s="449"/>
      <c r="W113" s="368"/>
      <c r="X113" s="265"/>
      <c r="Y113" s="262">
        <f>($W$113-$X$113)</f>
        <v>0</v>
      </c>
      <c r="AB113" s="4" t="s">
        <v>13</v>
      </c>
      <c r="AC113" s="33">
        <f>AB110+AE112</f>
        <v>0</v>
      </c>
      <c r="AD113" s="4"/>
      <c r="AE113" s="4"/>
    </row>
    <row r="114" spans="20:34" ht="12.75" customHeight="1">
      <c r="T114" s="568"/>
      <c r="U114" s="568"/>
      <c r="V114" s="568"/>
      <c r="W114" s="569" t="s">
        <v>484</v>
      </c>
      <c r="X114" s="570"/>
      <c r="Y114" s="249">
        <f>IF(SUM($Y$112:$Y$113)&lt;0,0,SUM($Y$112:$Y$113))</f>
        <v>0</v>
      </c>
      <c r="AB114" s="19" t="s">
        <v>17</v>
      </c>
      <c r="AC114" s="4" t="s">
        <v>18</v>
      </c>
      <c r="AD114" s="4" t="s">
        <v>19</v>
      </c>
      <c r="AE114" s="4"/>
    </row>
    <row r="115" spans="20:34" ht="12.75" customHeight="1">
      <c r="AB115" s="41">
        <f>LOOKUP(AC113,$AK$19:$AK$29,$AL$19:$AL$29)</f>
        <v>1</v>
      </c>
      <c r="AC115" s="2">
        <f>IF(AC113&lt;$AK$20,-AC113,LOOKUP(AC113,$AK$19:$AK$29,$AM$19:$AM$29))</f>
        <v>0</v>
      </c>
      <c r="AD115" s="14">
        <f>ROUNDDOWN(AC113*AB115+AC115,0)</f>
        <v>0</v>
      </c>
      <c r="AE115" s="4"/>
    </row>
    <row r="124" spans="20:34" ht="12.75" customHeight="1">
      <c r="AB124" s="4" t="s">
        <v>481</v>
      </c>
    </row>
    <row r="125" spans="20:34" ht="12.75" customHeight="1">
      <c r="AB125" s="345" t="s">
        <v>383</v>
      </c>
      <c r="AC125" s="346" t="s">
        <v>386</v>
      </c>
      <c r="AD125" s="347">
        <f>+IF(Y34="年調できません",0,AG134)</f>
        <v>30000</v>
      </c>
      <c r="AE125" s="349"/>
      <c r="AF125" s="350"/>
      <c r="AG125" s="350"/>
      <c r="AH125" s="350"/>
    </row>
    <row r="126" spans="20:34" ht="12.75" customHeight="1">
      <c r="AB126" s="345" t="s">
        <v>384</v>
      </c>
      <c r="AC126" s="348" t="s">
        <v>387</v>
      </c>
      <c r="AD126" s="347">
        <f>IF($Y$50-$AD$125&lt;=0,0,$Y$50-$AD$125)</f>
        <v>0</v>
      </c>
      <c r="AE126" s="349"/>
      <c r="AF126" s="350"/>
      <c r="AG126" s="350"/>
      <c r="AH126" s="350"/>
    </row>
    <row r="127" spans="20:34" ht="12.75" customHeight="1">
      <c r="AB127" s="345" t="s">
        <v>385</v>
      </c>
      <c r="AC127" s="346" t="s">
        <v>388</v>
      </c>
      <c r="AD127" s="347">
        <f>IF($AD$125-$Y$50&lt;=0,0,$AD$125-$Y$50)</f>
        <v>30000</v>
      </c>
      <c r="AE127" s="349"/>
      <c r="AF127" s="350"/>
      <c r="AG127" s="350"/>
      <c r="AH127" s="350"/>
    </row>
    <row r="128" spans="20:34" ht="12.75" customHeight="1">
      <c r="AB128" s="350"/>
      <c r="AC128" s="350"/>
      <c r="AD128" s="350"/>
      <c r="AE128" s="349"/>
      <c r="AF128" s="350"/>
      <c r="AG128" s="350"/>
      <c r="AH128" s="350"/>
    </row>
    <row r="129" spans="28:34" ht="12.75" customHeight="1">
      <c r="AB129" s="350" t="s">
        <v>381</v>
      </c>
      <c r="AC129" s="350"/>
      <c r="AD129" s="350"/>
      <c r="AE129" s="350"/>
      <c r="AF129" s="350"/>
      <c r="AG129" s="350"/>
      <c r="AH129" s="350"/>
    </row>
    <row r="130" spans="28:34" ht="12.75" customHeight="1">
      <c r="AB130" s="421" t="s">
        <v>382</v>
      </c>
      <c r="AC130" s="421"/>
      <c r="AD130" s="421"/>
      <c r="AE130" s="421"/>
      <c r="AF130" s="351">
        <f>IF(K33&gt;18050000,0,1)</f>
        <v>1</v>
      </c>
      <c r="AG130" s="352">
        <f>+AF130*30000</f>
        <v>30000</v>
      </c>
      <c r="AH130" s="363"/>
    </row>
    <row r="131" spans="28:34" ht="12.75" customHeight="1">
      <c r="AB131" s="421" t="s">
        <v>400</v>
      </c>
      <c r="AC131" s="421"/>
      <c r="AD131" s="421"/>
      <c r="AE131" s="421"/>
      <c r="AF131" s="351">
        <f>IF(Y71&gt;480000,0,IF(K33&gt;18050000,0,COUNTIFS(P16,"－",J16,"&gt;0")))</f>
        <v>0</v>
      </c>
      <c r="AG131" s="352">
        <f>+AF131*30000</f>
        <v>0</v>
      </c>
      <c r="AH131" s="363"/>
    </row>
    <row r="132" spans="28:34" ht="12.75" customHeight="1">
      <c r="AB132" s="421" t="s">
        <v>401</v>
      </c>
      <c r="AC132" s="421"/>
      <c r="AD132" s="421"/>
      <c r="AE132" s="421"/>
      <c r="AF132" s="351">
        <f>IF(K33&gt;18050000,0,COUNTIFS(P17:P20,"－",Q17:Q20,"対象")+COUNTIFS(P61:P63,"－",Q61:Q63,"対象"))</f>
        <v>0</v>
      </c>
      <c r="AG132" s="352">
        <f t="shared" ref="AG132:AG133" si="15">+AF132*30000</f>
        <v>0</v>
      </c>
      <c r="AH132" s="363"/>
    </row>
    <row r="133" spans="28:34" ht="12.75" customHeight="1">
      <c r="AB133" s="421" t="s">
        <v>402</v>
      </c>
      <c r="AC133" s="421"/>
      <c r="AD133" s="421"/>
      <c r="AE133" s="421"/>
      <c r="AF133" s="351">
        <f>IF(K33&gt;18050000,0,COUNTIFS(P23:P26,"－",Q23:Q26,"対象")+COUNTIFS(P67:P69,"－",Q67:Q69,"対象"))</f>
        <v>0</v>
      </c>
      <c r="AG133" s="352">
        <f t="shared" si="15"/>
        <v>0</v>
      </c>
      <c r="AH133" s="363"/>
    </row>
    <row r="134" spans="28:34" ht="12.75" customHeight="1">
      <c r="AB134" s="353"/>
      <c r="AC134" s="354"/>
      <c r="AD134" s="354"/>
      <c r="AE134" s="354"/>
      <c r="AF134" s="355" t="s">
        <v>403</v>
      </c>
      <c r="AG134" s="356">
        <f>SUM(AG130:AG133)</f>
        <v>30000</v>
      </c>
      <c r="AH134" s="364"/>
    </row>
    <row r="135" spans="28:34" ht="12.75" customHeight="1">
      <c r="AB135" s="357" t="s">
        <v>404</v>
      </c>
      <c r="AC135" s="358"/>
      <c r="AD135" s="358"/>
      <c r="AE135" s="358"/>
      <c r="AF135" s="358"/>
      <c r="AG135" s="358"/>
      <c r="AH135" s="358"/>
    </row>
    <row r="136" spans="28:34" ht="12.75" customHeight="1">
      <c r="AB136" s="357" t="s">
        <v>405</v>
      </c>
      <c r="AC136" s="358"/>
      <c r="AD136" s="358"/>
      <c r="AE136" s="358"/>
      <c r="AF136" s="358"/>
      <c r="AG136" s="358"/>
      <c r="AH136" s="358"/>
    </row>
    <row r="137" spans="28:34" ht="12.75" customHeight="1">
      <c r="AB137" s="358"/>
      <c r="AC137" s="358"/>
      <c r="AD137" s="358"/>
      <c r="AE137" s="358"/>
      <c r="AF137" s="358"/>
      <c r="AG137" s="358"/>
      <c r="AH137" s="358"/>
    </row>
    <row r="138" spans="28:34" ht="12.75" customHeight="1">
      <c r="AB138" s="350"/>
      <c r="AC138" s="350"/>
      <c r="AD138" s="350"/>
      <c r="AE138" s="350"/>
      <c r="AF138" s="350"/>
      <c r="AG138" s="359" t="str">
        <f>IF('07nen'!$O$8="甲欄","源泉徴収時所得税減税控除済額 "&amp;TEXT('07nen'!$AD$125-$AD$127,"#,##0円")&amp;"、控除外額 "&amp;TEXT('07nen'!$AD$127,"#,##0円"),"")</f>
        <v>源泉徴収時所得税減税控除済額 0円、控除外額 30,000円</v>
      </c>
      <c r="AH138" s="359"/>
    </row>
    <row r="139" spans="28:34" ht="12.75" customHeight="1">
      <c r="AB139" s="350"/>
      <c r="AC139" s="350"/>
      <c r="AD139" s="350"/>
      <c r="AE139" s="350"/>
      <c r="AF139" s="350"/>
      <c r="AG139" s="359" t="str">
        <f>IF(P30="対象外",IF((AD29+AD28+AD30)&gt;0,IF(AG131=30000,"",IF(AG131=30000,"非控除対象配偶者減税有","")),"非控除対象配偶者減税有"),"")</f>
        <v/>
      </c>
      <c r="AH139" s="359"/>
    </row>
    <row r="140" spans="28:34" ht="12.75" customHeight="1">
      <c r="AB140" s="350"/>
      <c r="AC140" s="350"/>
      <c r="AD140" s="350"/>
      <c r="AE140" s="350"/>
      <c r="AF140" s="350"/>
      <c r="AG140" s="359" t="str">
        <f>IF(P30="対象外",IF((AD29+AD28+AD30)&gt;0,IF(AG131=30000,"減税有　",""),""),"")</f>
        <v/>
      </c>
      <c r="AH140" s="359"/>
    </row>
  </sheetData>
  <sheetProtection algorithmName="SHA-512" hashValue="+uG2n7Y0wKOq0nwYFOBP4rxtFI5ldCjimfYCj+8ParGHNjO4iZd98XfcKkr/CDZgt/59JIT7f4569uV20CLb2w==" saltValue="SxOBcIvmkBt58exjspc5HQ==" spinCount="100000" sheet="1" objects="1" scenarios="1"/>
  <protectedRanges>
    <protectedRange sqref="W76 W77:X77 W82 W83:X83 W88 W89:X89 W94 W95:X95 W100 W101:X101 W106 W107:X107 W112 W113:X113" name="範囲4_1"/>
    <protectedRange sqref="E9:J10 E11:G13 I13 M8:O10 M11:N11" name="範囲1"/>
    <protectedRange sqref="L16:N20 M74:N74 D74:G74 D75:D76 I74 L23:P26 P61:P63 P67:P69 P16:P20 G42:G45 D16:J20 D23:J26" name="範囲2"/>
    <protectedRange sqref="C30:E31 D32:E32 C33:C37 E36:E37 D46:D48 F51 B52 C54:G55 C40:E41 C43:E44 I51:I55" name="範囲3"/>
    <protectedRange sqref="P49 X64:X70 K32 X62 I36 Q35 G38 G33 W62:W70 AG134:AH134 P51:Q55 N49:N52" name="範囲4"/>
    <protectedRange sqref="M74:O76 D74:J76 L67:O69 L61:N63 D67:J69 D61:J63" name="範囲5"/>
    <protectedRange sqref="U22 V24:Y25 W30 Y30 X33:Y33 X37 U26:V27 V10:Y11 V16:X22 X15 V12:W15 X12:Y14 Y15:Y22" name="範囲6"/>
    <protectedRange sqref="M12:O13" name="範囲1_1"/>
    <protectedRange sqref="W26:Y27" name="範囲6_1"/>
  </protectedRanges>
  <dataConsolidate/>
  <mergeCells count="240">
    <mergeCell ref="T114:V114"/>
    <mergeCell ref="W114:X114"/>
    <mergeCell ref="R15:R16"/>
    <mergeCell ref="R59:R60"/>
    <mergeCell ref="M38:M39"/>
    <mergeCell ref="W102:X102"/>
    <mergeCell ref="T105:V105"/>
    <mergeCell ref="T106:V106"/>
    <mergeCell ref="T107:V107"/>
    <mergeCell ref="T108:V108"/>
    <mergeCell ref="W108:X108"/>
    <mergeCell ref="T111:V111"/>
    <mergeCell ref="T112:V112"/>
    <mergeCell ref="T113:V113"/>
    <mergeCell ref="T89:V89"/>
    <mergeCell ref="T90:V90"/>
    <mergeCell ref="W90:X90"/>
    <mergeCell ref="T93:V93"/>
    <mergeCell ref="T94:V94"/>
    <mergeCell ref="I45:J45"/>
    <mergeCell ref="K41:L41"/>
    <mergeCell ref="K42:L42"/>
    <mergeCell ref="K43:L43"/>
    <mergeCell ref="K45:L45"/>
    <mergeCell ref="T99:V99"/>
    <mergeCell ref="T100:V100"/>
    <mergeCell ref="T101:V101"/>
    <mergeCell ref="T102:V102"/>
    <mergeCell ref="M62:N62"/>
    <mergeCell ref="T62:V62"/>
    <mergeCell ref="M63:N63"/>
    <mergeCell ref="T63:U64"/>
    <mergeCell ref="K55:O55"/>
    <mergeCell ref="P55:Q55"/>
    <mergeCell ref="T52:W52"/>
    <mergeCell ref="I43:J43"/>
    <mergeCell ref="T95:V95"/>
    <mergeCell ref="T96:V96"/>
    <mergeCell ref="W96:X96"/>
    <mergeCell ref="T81:V81"/>
    <mergeCell ref="T82:V82"/>
    <mergeCell ref="W84:X84"/>
    <mergeCell ref="T87:V87"/>
    <mergeCell ref="B73:C73"/>
    <mergeCell ref="D73:E73"/>
    <mergeCell ref="F73:G73"/>
    <mergeCell ref="M73:N73"/>
    <mergeCell ref="B67:B69"/>
    <mergeCell ref="M67:N67"/>
    <mergeCell ref="T67:V67"/>
    <mergeCell ref="M68:N68"/>
    <mergeCell ref="T68:U69"/>
    <mergeCell ref="M69:N69"/>
    <mergeCell ref="AB130:AE130"/>
    <mergeCell ref="AB131:AE131"/>
    <mergeCell ref="AB132:AE132"/>
    <mergeCell ref="T65:V65"/>
    <mergeCell ref="B66:C66"/>
    <mergeCell ref="D66:E66"/>
    <mergeCell ref="F66:G66"/>
    <mergeCell ref="M66:N66"/>
    <mergeCell ref="T66:V66"/>
    <mergeCell ref="T83:V83"/>
    <mergeCell ref="T84:V84"/>
    <mergeCell ref="T88:V88"/>
    <mergeCell ref="T78:V78"/>
    <mergeCell ref="W78:X78"/>
    <mergeCell ref="M75:N75"/>
    <mergeCell ref="M74:N74"/>
    <mergeCell ref="B74:C74"/>
    <mergeCell ref="M76:N76"/>
    <mergeCell ref="B76:C76"/>
    <mergeCell ref="B75:C75"/>
    <mergeCell ref="Y69:Y70"/>
    <mergeCell ref="T70:V70"/>
    <mergeCell ref="T71:V71"/>
    <mergeCell ref="W71:X71"/>
    <mergeCell ref="AK58:AL58"/>
    <mergeCell ref="B60:C60"/>
    <mergeCell ref="D60:E60"/>
    <mergeCell ref="F60:G60"/>
    <mergeCell ref="M60:N60"/>
    <mergeCell ref="T60:V60"/>
    <mergeCell ref="B61:B63"/>
    <mergeCell ref="M61:N61"/>
    <mergeCell ref="T61:V61"/>
    <mergeCell ref="C55:D55"/>
    <mergeCell ref="F55:G55"/>
    <mergeCell ref="C53:D53"/>
    <mergeCell ref="F53:G53"/>
    <mergeCell ref="N54:O54"/>
    <mergeCell ref="P54:Q54"/>
    <mergeCell ref="B52:B53"/>
    <mergeCell ref="C52:E52"/>
    <mergeCell ref="F52:G52"/>
    <mergeCell ref="K53:M54"/>
    <mergeCell ref="N53:O53"/>
    <mergeCell ref="P53:Q53"/>
    <mergeCell ref="AK52:AL52"/>
    <mergeCell ref="P51:Q51"/>
    <mergeCell ref="C54:D54"/>
    <mergeCell ref="F54:G54"/>
    <mergeCell ref="P48:Q48"/>
    <mergeCell ref="I41:J41"/>
    <mergeCell ref="C43:E45"/>
    <mergeCell ref="C40:E42"/>
    <mergeCell ref="T48:W48"/>
    <mergeCell ref="C51:E51"/>
    <mergeCell ref="F51:G51"/>
    <mergeCell ref="K52:L52"/>
    <mergeCell ref="P52:Q52"/>
    <mergeCell ref="T49:X49"/>
    <mergeCell ref="T45:W45"/>
    <mergeCell ref="B46:C46"/>
    <mergeCell ref="D46:E46"/>
    <mergeCell ref="B47:C47"/>
    <mergeCell ref="K49:L51"/>
    <mergeCell ref="P49:Q49"/>
    <mergeCell ref="T46:W46"/>
    <mergeCell ref="B48:C48"/>
    <mergeCell ref="P50:Q50"/>
    <mergeCell ref="T47:W47"/>
    <mergeCell ref="D47:E47"/>
    <mergeCell ref="D48:E48"/>
    <mergeCell ref="B43:B45"/>
    <mergeCell ref="T51:W51"/>
    <mergeCell ref="B40:B42"/>
    <mergeCell ref="I44:J44"/>
    <mergeCell ref="D35:E35"/>
    <mergeCell ref="G36:H36"/>
    <mergeCell ref="I36:J36"/>
    <mergeCell ref="K36:L36"/>
    <mergeCell ref="T35:W35"/>
    <mergeCell ref="G37:H37"/>
    <mergeCell ref="I37:J37"/>
    <mergeCell ref="K37:L37"/>
    <mergeCell ref="T36:W36"/>
    <mergeCell ref="H38:J38"/>
    <mergeCell ref="N40:P40"/>
    <mergeCell ref="T40:W40"/>
    <mergeCell ref="T41:W41"/>
    <mergeCell ref="T42:W42"/>
    <mergeCell ref="T44:W44"/>
    <mergeCell ref="T43:W43"/>
    <mergeCell ref="K44:L44"/>
    <mergeCell ref="I42:J42"/>
    <mergeCell ref="D33:E34"/>
    <mergeCell ref="N34:O34"/>
    <mergeCell ref="P34:Q34"/>
    <mergeCell ref="T33:W33"/>
    <mergeCell ref="G35:H35"/>
    <mergeCell ref="I35:J35"/>
    <mergeCell ref="K35:L35"/>
    <mergeCell ref="T34:W34"/>
    <mergeCell ref="H33:J33"/>
    <mergeCell ref="G32:H32"/>
    <mergeCell ref="I32:J32"/>
    <mergeCell ref="K32:L32"/>
    <mergeCell ref="N32:O32"/>
    <mergeCell ref="P32:Q32"/>
    <mergeCell ref="K33:L33"/>
    <mergeCell ref="N33:O33"/>
    <mergeCell ref="P33:Q33"/>
    <mergeCell ref="G31:H31"/>
    <mergeCell ref="I31:J31"/>
    <mergeCell ref="K31:L31"/>
    <mergeCell ref="N31:O31"/>
    <mergeCell ref="P31:Q31"/>
    <mergeCell ref="G30:H30"/>
    <mergeCell ref="I30:J30"/>
    <mergeCell ref="K30:L30"/>
    <mergeCell ref="N30:O30"/>
    <mergeCell ref="P30:Q30"/>
    <mergeCell ref="T29:V29"/>
    <mergeCell ref="B15:C16"/>
    <mergeCell ref="C13:D13"/>
    <mergeCell ref="C10:D10"/>
    <mergeCell ref="E10:J10"/>
    <mergeCell ref="K10:L10"/>
    <mergeCell ref="M10:N10"/>
    <mergeCell ref="B9:B13"/>
    <mergeCell ref="C9:D9"/>
    <mergeCell ref="E9:J9"/>
    <mergeCell ref="K9:L9"/>
    <mergeCell ref="M9:N9"/>
    <mergeCell ref="E12:G12"/>
    <mergeCell ref="K12:L12"/>
    <mergeCell ref="T9:U9"/>
    <mergeCell ref="B28:B29"/>
    <mergeCell ref="C28:C29"/>
    <mergeCell ref="U28:V28"/>
    <mergeCell ref="G28:O29"/>
    <mergeCell ref="AB23:AD23"/>
    <mergeCell ref="M20:N20"/>
    <mergeCell ref="B22:C22"/>
    <mergeCell ref="D22:E22"/>
    <mergeCell ref="F22:G22"/>
    <mergeCell ref="M22:N22"/>
    <mergeCell ref="B23:B25"/>
    <mergeCell ref="M23:N23"/>
    <mergeCell ref="B17:B19"/>
    <mergeCell ref="M17:N17"/>
    <mergeCell ref="M18:N18"/>
    <mergeCell ref="M19:N19"/>
    <mergeCell ref="T10:T23"/>
    <mergeCell ref="C11:D11"/>
    <mergeCell ref="E11:G11"/>
    <mergeCell ref="K11:L11"/>
    <mergeCell ref="C12:D12"/>
    <mergeCell ref="M16:N16"/>
    <mergeCell ref="E13:G13"/>
    <mergeCell ref="I13:J13"/>
    <mergeCell ref="K13:L13"/>
    <mergeCell ref="M13:O13"/>
    <mergeCell ref="D15:E15"/>
    <mergeCell ref="F15:G15"/>
    <mergeCell ref="AB133:AE133"/>
    <mergeCell ref="K8:L8"/>
    <mergeCell ref="M8:N8"/>
    <mergeCell ref="O8:O10"/>
    <mergeCell ref="M24:N24"/>
    <mergeCell ref="T24:T28"/>
    <mergeCell ref="M25:N25"/>
    <mergeCell ref="M26:N26"/>
    <mergeCell ref="T30:V30"/>
    <mergeCell ref="T32:W32"/>
    <mergeCell ref="K38:L38"/>
    <mergeCell ref="N37:P37"/>
    <mergeCell ref="T37:U39"/>
    <mergeCell ref="V37:W37"/>
    <mergeCell ref="N38:P38"/>
    <mergeCell ref="V38:W38"/>
    <mergeCell ref="N39:P39"/>
    <mergeCell ref="U23:V23"/>
    <mergeCell ref="M15:N15"/>
    <mergeCell ref="V39:W39"/>
    <mergeCell ref="T50:X50"/>
    <mergeCell ref="T75:V75"/>
    <mergeCell ref="T76:V76"/>
    <mergeCell ref="T77:V77"/>
  </mergeCells>
  <phoneticPr fontId="3"/>
  <dataValidations xWindow="493" yWindow="1178" count="26">
    <dataValidation type="list" allowBlank="1" showInputMessage="1" showErrorMessage="1" sqref="D47" xr:uid="{01E66137-E318-49A6-8BB9-9C149DB3BC34}">
      <formula1>"－,就職,退職"</formula1>
    </dataValidation>
    <dataValidation type="list" allowBlank="1" showInputMessage="1" showErrorMessage="1" prompt="ドロップダウンリストから該当の場合は &quot;○&quot; を選んでください。_x000a_該当しない場合は &quot;－&quot; のままで" sqref="C30:C31 D30:D32 I51 E36:E37 C33:C37" xr:uid="{45B134FE-276B-4E34-8713-635C0E542E38}">
      <formula1>"－,○"</formula1>
    </dataValidation>
    <dataValidation type="list" allowBlank="1" showInputMessage="1" showErrorMessage="1" prompt="ドロップダウンリストから該当の場合は &quot;人数&quot; を選んでください。_x000a_該当しない場合は &quot;－&quot; のままで" sqref="E30:E32 I52:I55" xr:uid="{874419B8-6A36-4FB0-ABCF-3728066E3667}">
      <formula1>"－,1,2,3,4,5"</formula1>
    </dataValidation>
    <dataValidation type="list" allowBlank="1" showInputMessage="1" showErrorMessage="1" sqref="O8" xr:uid="{0E59BAA1-F3AD-4CBA-AE6C-77CFE7E94468}">
      <formula1>"甲欄,年調対象外,乙欄,丙欄"</formula1>
    </dataValidation>
    <dataValidation type="list" allowBlank="1" showErrorMessage="1" prompt="源泉徴収票の控除対象配偶者の有無欄の無に &quot;○&quot; を付ける場合は無を選択してください。" sqref="I16 I74" xr:uid="{AFC665DD-DD4B-417E-92D0-2D3BE5446033}">
      <formula1>"－,妻,夫"</formula1>
    </dataValidation>
    <dataValidation type="list" allowBlank="1" showInputMessage="1" showErrorMessage="1" prompt="ドロップダウンリストから非居住者である親族に該当する方は &quot;○&quot; を選んでください。_x000a_該当しない場合は &quot;－&quot; のままで" sqref="P16" xr:uid="{F0D09923-A0B3-4911-99B8-968F8EFC818B}">
      <formula1>"－,○"</formula1>
    </dataValidation>
    <dataValidation type="whole" imeMode="off" allowBlank="1" showInputMessage="1" showErrorMessage="1" error="半角で8桁を入力してください。" prompt="半角で8桁を入力してください。" sqref="I13:J13" xr:uid="{7D0D4A94-2485-4896-9B86-98F1368D9E1F}">
      <formula1>0</formula1>
      <formula2>99999999</formula2>
    </dataValidation>
    <dataValidation type="whole" imeMode="off" allowBlank="1" showInputMessage="1" showErrorMessage="1" error="半角で5桁を入力してください。" prompt="半角で5桁を入力してください。" sqref="E13:G13" xr:uid="{C8417922-E033-4D68-BE18-B24E6FDCB48E}">
      <formula1>0</formula1>
      <formula2>99999</formula2>
    </dataValidation>
    <dataValidation type="whole" imeMode="off" allowBlank="1" showInputMessage="1" showErrorMessage="1" error="半角で12桁入力してください" prompt="マイナンバーを半角で12桁入力してください。" sqref="M9:N9 H61:H63 H74:H76 H16:H20 H23:H26 H67:H69" xr:uid="{631BF2B2-A5ED-42FF-93CB-154DF131057F}">
      <formula1>1</formula1>
      <formula2>999999999999</formula2>
    </dataValidation>
    <dataValidation type="whole" imeMode="off" allowBlank="1" showInputMessage="1" showErrorMessage="1" error="法人番号は半角で13桁、個人番号(マイナンバー)き半角で12桁で入力してください。" prompt="法人番号は半角で13桁入力してください。_x000a_個人番号(マイナンバー)は半角で12桁で入力してください。(表示上13桁目に0が入りますが源泉徴収票には飛びません。)" sqref="E11:G11" xr:uid="{0F65D6B8-D11E-488D-A7F5-ED00D64B3DF2}">
      <formula1>1</formula1>
      <formula2>9999999999999</formula2>
    </dataValidation>
    <dataValidation type="list" allowBlank="1" showInputMessage="1" showErrorMessage="1" sqref="D46:E46" xr:uid="{5731044D-BE8E-4DE9-8182-B8C849670FF3}">
      <formula1>"－,普通徴収"</formula1>
    </dataValidation>
    <dataValidation allowBlank="1" showInputMessage="1" showErrorMessage="1" prompt="給与所得者の住宅借入金等特別控除申告書から満額を入力してください。" sqref="F51:G51" xr:uid="{3E41B665-14E2-49B4-A539-0EF7D9FFC958}"/>
    <dataValidation type="date" imeMode="halfAlpha" operator="greaterThanOrEqual" allowBlank="1" showInputMessage="1" showErrorMessage="1" error="半角英数で(例)昭和48年1月1日生れの方は 1973/1/1か　S48.1.1　と入れてください。_x000a_" sqref="J74:J76 J23:J26 J16:J20 O12 J67:J69 J61:J63" xr:uid="{B1204BB3-37CD-404E-937E-AD3B1E2B4568}">
      <formula1>1</formula1>
    </dataValidation>
    <dataValidation type="list" allowBlank="1" showInputMessage="1" showErrorMessage="1" prompt="ドロップダウンリストから適用数を選んでください。_x000a_該当しない場合は &quot;－&quot; のままで_x000a_適用数が3以上のときには、前職情報等に住宅借入金等特別控除区分、居住開始年月日及び住宅借入金等年末残高を記載してください。" sqref="B52:B53" xr:uid="{610CA05A-41DE-4E2C-B9BD-55FCFA5B68E9}">
      <formula1>"－,1,2,3,4,5,6,7,8,9"</formula1>
    </dataValidation>
    <dataValidation type="list" allowBlank="1" showInputMessage="1" showErrorMessage="1" sqref="I61:I63 I17:I20 I75:I76" xr:uid="{85CFEDFE-98D3-4087-86CF-C930F19A0767}">
      <formula1>"－,子,父,母,祖父,祖母,兄,弟,姉,妹,その他"</formula1>
    </dataValidation>
    <dataValidation type="list" allowBlank="1" showInputMessage="1" showErrorMessage="1" prompt="あなたと同居の場合は&quot;同居&quot;を選択してください。" sqref="L16" xr:uid="{40CDD701-B62D-45FE-8F0B-57A148641E77}">
      <formula1>"－,同居"</formula1>
    </dataValidation>
    <dataValidation allowBlank="1" showInputMessage="1" showErrorMessage="1" prompt="同居の場合入力してもしなくてもOK" sqref="M61:N63 M16:N20 M74:N76" xr:uid="{078EC2BE-1802-4084-B02A-1283B012869A}"/>
    <dataValidation type="list" allowBlank="1" showInputMessage="1" showErrorMessage="1" sqref="I23:I26 I67:I69" xr:uid="{02C6B57A-E911-4DE5-BDD6-67C7BC2C3711}">
      <formula1>"－,子"</formula1>
    </dataValidation>
    <dataValidation type="list" allowBlank="1" showInputMessage="1" showErrorMessage="1" sqref="L23:L26 L67:L69" xr:uid="{932EE65E-4737-4F94-91C7-53DED253EAF5}">
      <formula1>"－,同居"</formula1>
    </dataValidation>
    <dataValidation type="list" allowBlank="1" showInputMessage="1" showErrorMessage="1" prompt="あなたと同居の場合は&quot;同居&quot;を選択してください。_x000a_同居老人扶養親族で直系尊属以外の場合は&quot;直系以外&quot;を選択してください。_x000a_" sqref="L61:L63 L18:L20" xr:uid="{3CA60292-E3A9-4445-8CCB-056CD831B727}">
      <formula1>"－,同居,直系以外"</formula1>
    </dataValidation>
    <dataValidation type="list" allowBlank="1" showInputMessage="1" showErrorMessage="1" prompt="あなたと同居の場合は&quot;同居&quot;を選択してください。_x000a_同居老人扶養親族で直系尊属以外の場合は&quot;直系以外&quot;を選択してください。" sqref="L17" xr:uid="{40C1F4AE-B2D8-4136-9635-6E99E7CB8725}">
      <formula1>"－,同居,直系以外"</formula1>
    </dataValidation>
    <dataValidation type="list" allowBlank="1" showInputMessage="1" showErrorMessage="1" prompt="ドロップダウンリストから提出がある場合は &quot;有&quot; のままで_x000a_提出のない場合は &quot;無&quot; を選んでください。" sqref="G33 G38 Q35" xr:uid="{27F12DF0-78D5-448A-943D-0C7A87D4D335}">
      <formula1>"有,無"</formula1>
    </dataValidation>
    <dataValidation type="list" allowBlank="1" showInputMessage="1" showErrorMessage="1" prompt="ドロップダウンリストから非居住者である親族に該当する方は 01～04 を選んでください。_x000a_該当しない場合は &quot;－&quot; のままで" sqref="P67:P69 P23:P26 P61:P63 P17:P20" xr:uid="{B7C0AD98-581B-4408-8083-A176A9C77549}">
      <formula1>"－,01,02,03,04"</formula1>
    </dataValidation>
    <dataValidation type="list" allowBlank="1" showInputMessage="1" showErrorMessage="1" prompt="ドロップダウンリストから適用を受けている区分を選んでください。_x000a_該当しない場合は &quot;－&quot; のままで" sqref="E54:E55" xr:uid="{90674153-2DB6-45B5-BD2D-0367BC5CA0C6}">
      <formula1>"－,住,認,増,震,住(特),認(特),増(特),住(特特),認(特特),震(特特),住(特特特),認(特特特),震(特特特),住(持家),認(持家),震(持家)"</formula1>
    </dataValidation>
    <dataValidation allowBlank="1" showInputMessage="1" showErrorMessage="1" prompt="控除前税額から「月次減税額」を控除した差引徴収税額を入力してください。" sqref="Y33" xr:uid="{78CC9045-B3C0-42EE-A848-709776821592}"/>
    <dataValidation type="list" allowBlank="1" showInputMessage="1" showErrorMessage="1" prompt="ドロップダウンリストから該当の場合は 該当するものの番号&quot;①～⑦&quot;を選んでください。_x000a_該当しない場合は &quot;－&quot; のままで" sqref="G42:G45" xr:uid="{44BB1CC4-F251-45BF-8F58-540E7CB998D4}">
      <formula1>"－,①,②,③,④,⑤,⑥,⑦"</formula1>
    </dataValidation>
  </dataValidations>
  <printOptions horizontalCentered="1" verticalCentered="1"/>
  <pageMargins left="0.39370078740157483" right="0.39370078740157483" top="0.39370078740157483" bottom="0.39370078740157483" header="0.23622047244094491" footer="0.23622047244094491"/>
  <pageSetup paperSize="9" scale="85" orientation="landscape" horizontalDpi="400" verticalDpi="4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0BCFF-BC06-44B0-9A41-087E0798BB94}">
  <sheetPr>
    <pageSetUpPr fitToPage="1"/>
  </sheetPr>
  <dimension ref="A1:FG60"/>
  <sheetViews>
    <sheetView zoomScale="70" zoomScaleNormal="70" workbookViewId="0">
      <selection activeCell="CR24" sqref="CR24:FD26"/>
    </sheetView>
  </sheetViews>
  <sheetFormatPr defaultColWidth="2" defaultRowHeight="12"/>
  <cols>
    <col min="1" max="79" width="2" style="72"/>
    <col min="80" max="80" width="0.85546875" style="72" customWidth="1"/>
    <col min="81" max="160" width="2" style="72"/>
    <col min="161" max="161" width="0.85546875" style="72" customWidth="1"/>
    <col min="162" max="16384" width="2" style="72"/>
  </cols>
  <sheetData>
    <row r="1" spans="1:163" s="70" customFormat="1" ht="18.75">
      <c r="A1" s="326" t="s">
        <v>436</v>
      </c>
      <c r="FB1" s="1294" t="str">
        <f>+'07nen'!Y1</f>
        <v>v2.52</v>
      </c>
      <c r="FC1" s="1294"/>
      <c r="FD1" s="1294"/>
      <c r="FE1" s="1294"/>
    </row>
    <row r="2" spans="1:163" s="70" customFormat="1" ht="18.75">
      <c r="A2" s="326"/>
    </row>
    <row r="3" spans="1:163">
      <c r="A3" s="98"/>
      <c r="B3" s="98"/>
      <c r="C3" s="98"/>
      <c r="D3" s="98"/>
      <c r="E3" s="98"/>
      <c r="F3" s="98"/>
      <c r="G3" s="98"/>
      <c r="H3" s="98"/>
      <c r="I3" s="98"/>
      <c r="J3" s="98"/>
      <c r="K3" s="98"/>
      <c r="L3" s="98"/>
      <c r="M3" s="98"/>
      <c r="N3" s="98"/>
      <c r="O3" s="98"/>
      <c r="P3" s="98"/>
      <c r="Q3" s="104"/>
      <c r="R3" s="98"/>
      <c r="S3" s="98"/>
      <c r="T3" s="98"/>
      <c r="U3" s="98"/>
      <c r="V3" s="98"/>
      <c r="W3" s="98"/>
      <c r="X3" s="98"/>
      <c r="Y3" s="98"/>
      <c r="Z3" s="98"/>
      <c r="AA3" s="98"/>
      <c r="AB3" s="98"/>
      <c r="AC3" s="98"/>
      <c r="AD3" s="98"/>
      <c r="AE3" s="98"/>
      <c r="AF3" s="104"/>
      <c r="AG3" s="104"/>
      <c r="AH3" s="104"/>
      <c r="AI3" s="104"/>
      <c r="AJ3" s="104"/>
      <c r="AK3" s="104"/>
      <c r="AL3" s="104"/>
      <c r="AM3" s="104"/>
      <c r="AN3" s="104"/>
      <c r="AO3" s="104"/>
      <c r="AP3" s="104"/>
      <c r="AQ3" s="104"/>
      <c r="AR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118"/>
      <c r="CC3" s="117"/>
      <c r="CD3" s="117"/>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row>
    <row r="4" spans="1:163" s="97" customFormat="1" ht="14.25">
      <c r="A4" s="73"/>
      <c r="B4" s="677" t="s">
        <v>435</v>
      </c>
      <c r="C4" s="677"/>
      <c r="D4" s="677"/>
      <c r="E4" s="677"/>
      <c r="F4" s="678" t="s">
        <v>200</v>
      </c>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8"/>
      <c r="AS4" s="679" t="s">
        <v>375</v>
      </c>
      <c r="AT4" s="679"/>
      <c r="AU4" s="679"/>
      <c r="AV4" s="679"/>
      <c r="AW4" s="679"/>
      <c r="AX4" s="679"/>
      <c r="AY4" s="679"/>
      <c r="AZ4" s="679"/>
      <c r="BA4" s="679"/>
      <c r="BB4" s="679"/>
      <c r="BC4" s="680" t="s">
        <v>376</v>
      </c>
      <c r="BD4" s="680"/>
      <c r="BE4" s="680"/>
      <c r="BF4" s="680"/>
      <c r="BG4" s="680"/>
      <c r="BH4" s="680"/>
      <c r="BI4" s="680"/>
      <c r="BJ4" s="680"/>
      <c r="BK4" s="680"/>
      <c r="BL4" s="680"/>
      <c r="BM4" s="680"/>
      <c r="BN4" s="680"/>
      <c r="BO4" s="679" t="s">
        <v>200</v>
      </c>
      <c r="BP4" s="679"/>
      <c r="BQ4" s="679"/>
      <c r="BR4" s="679"/>
      <c r="BS4" s="679"/>
      <c r="BT4" s="679"/>
      <c r="BU4" s="679"/>
      <c r="BV4" s="679"/>
      <c r="BW4" s="679"/>
      <c r="BX4" s="679"/>
      <c r="BY4" s="679"/>
      <c r="BZ4" s="679"/>
      <c r="CA4" s="679"/>
      <c r="CB4" s="118"/>
      <c r="CC4" s="117"/>
      <c r="CD4" s="117"/>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2"/>
      <c r="FE4" s="72"/>
    </row>
    <row r="5" spans="1:163" ht="33" customHeight="1">
      <c r="A5" s="96"/>
      <c r="B5" s="677"/>
      <c r="C5" s="677"/>
      <c r="D5" s="677"/>
      <c r="E5" s="677"/>
      <c r="F5" s="315"/>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7"/>
      <c r="AS5" s="688"/>
      <c r="AT5" s="688"/>
      <c r="AU5" s="689"/>
      <c r="AV5" s="689"/>
      <c r="AW5" s="689"/>
      <c r="AX5" s="689"/>
      <c r="AY5" s="689"/>
      <c r="AZ5" s="689"/>
      <c r="BA5" s="689"/>
      <c r="BB5" s="689"/>
      <c r="BC5" s="690"/>
      <c r="BD5" s="690"/>
      <c r="BE5" s="690"/>
      <c r="BF5" s="690"/>
      <c r="BG5" s="690"/>
      <c r="BH5" s="690"/>
      <c r="BI5" s="690"/>
      <c r="BJ5" s="690"/>
      <c r="BK5" s="690"/>
      <c r="BL5" s="690"/>
      <c r="BM5" s="690"/>
      <c r="BN5" s="690"/>
      <c r="BO5" s="690"/>
      <c r="BP5" s="690"/>
      <c r="BQ5" s="690"/>
      <c r="BR5" s="690"/>
      <c r="BS5" s="690"/>
      <c r="BT5" s="690"/>
      <c r="BU5" s="690"/>
      <c r="BV5" s="690"/>
      <c r="BW5" s="690"/>
      <c r="BX5" s="690"/>
      <c r="BY5" s="690"/>
      <c r="BZ5" s="690"/>
      <c r="CA5" s="690"/>
      <c r="CB5" s="118"/>
      <c r="CG5" s="127"/>
      <c r="CH5" s="127"/>
      <c r="CI5" s="119"/>
      <c r="CJ5" s="119"/>
      <c r="CK5" s="119"/>
      <c r="CL5" s="119"/>
      <c r="CM5" s="119"/>
      <c r="CN5" s="119"/>
      <c r="CO5" s="119"/>
      <c r="CP5" s="119"/>
      <c r="CQ5" s="109"/>
      <c r="CR5" s="109"/>
      <c r="CS5" s="109"/>
      <c r="CT5" s="108"/>
      <c r="CU5" s="108"/>
      <c r="CV5" s="108"/>
      <c r="CW5" s="132"/>
      <c r="CX5" s="133"/>
      <c r="CY5" s="134"/>
      <c r="CZ5" s="134" t="s">
        <v>312</v>
      </c>
      <c r="DA5" s="1005">
        <f>+$AS$54</f>
        <v>7</v>
      </c>
      <c r="DB5" s="1005"/>
      <c r="DC5" s="1005"/>
      <c r="DD5" s="135" t="s">
        <v>125</v>
      </c>
      <c r="DF5" s="135"/>
      <c r="DG5" s="135"/>
      <c r="DH5" s="110"/>
      <c r="DL5" s="1006" t="s">
        <v>139</v>
      </c>
      <c r="DM5" s="1006"/>
      <c r="DN5" s="1006"/>
      <c r="DO5" s="1006"/>
      <c r="DP5" s="1006"/>
      <c r="DQ5" s="1006"/>
      <c r="DR5" s="1006"/>
      <c r="DS5" s="1006"/>
      <c r="DT5" s="1006"/>
      <c r="DU5" s="1006"/>
      <c r="DV5" s="1006"/>
      <c r="DW5" s="1006"/>
      <c r="DX5" s="1006"/>
      <c r="DY5" s="1006"/>
      <c r="DZ5" s="1006"/>
      <c r="EA5" s="1006"/>
      <c r="EB5" s="1006"/>
      <c r="EC5" s="1006"/>
      <c r="ED5" s="1006"/>
      <c r="EE5" s="1006"/>
      <c r="EF5" s="1006"/>
      <c r="EG5" s="1006"/>
      <c r="EH5" s="1006"/>
      <c r="EI5" s="1006"/>
      <c r="EJ5" s="1006"/>
      <c r="EK5" s="1006"/>
      <c r="EL5" s="119"/>
      <c r="EM5" s="119"/>
      <c r="EN5" s="119"/>
      <c r="EO5" s="119"/>
      <c r="EP5" s="119"/>
      <c r="EQ5" s="119"/>
      <c r="ER5" s="119"/>
      <c r="ES5" s="119"/>
      <c r="ET5" s="119"/>
      <c r="EU5" s="119"/>
      <c r="EV5" s="119"/>
      <c r="EW5" s="119"/>
      <c r="EX5" s="119"/>
      <c r="EY5" s="119"/>
      <c r="EZ5" s="119"/>
      <c r="FA5" s="119"/>
      <c r="FB5" s="119"/>
      <c r="FC5" s="119"/>
      <c r="FD5" s="119"/>
      <c r="FE5" s="126"/>
      <c r="FF5" s="127"/>
      <c r="FG5" s="127"/>
    </row>
    <row r="6" spans="1:163" ht="23.45" customHeight="1">
      <c r="A6" s="96"/>
      <c r="F6" s="699" t="s">
        <v>179</v>
      </c>
      <c r="G6" s="699"/>
      <c r="H6" s="700"/>
      <c r="I6" s="700"/>
      <c r="J6" s="700"/>
      <c r="K6" s="702" t="s">
        <v>235</v>
      </c>
      <c r="L6" s="702"/>
      <c r="M6" s="702"/>
      <c r="N6" s="702"/>
      <c r="O6" s="702"/>
      <c r="P6" s="310"/>
      <c r="Q6" s="310"/>
      <c r="R6" s="310"/>
      <c r="S6" s="313"/>
      <c r="T6" s="313"/>
      <c r="U6" s="310"/>
      <c r="V6" s="310"/>
      <c r="W6" s="310"/>
      <c r="X6" s="310"/>
      <c r="Y6" s="310"/>
      <c r="Z6" s="313"/>
      <c r="AA6" s="313"/>
      <c r="AB6" s="313"/>
      <c r="AC6" s="313"/>
      <c r="AD6" s="313"/>
      <c r="AE6" s="313"/>
      <c r="AF6" s="313"/>
      <c r="AG6" s="313"/>
      <c r="AH6" s="313"/>
      <c r="AI6" s="313"/>
      <c r="AJ6" s="313"/>
      <c r="AK6" s="310"/>
      <c r="AL6" s="310"/>
      <c r="AM6" s="310"/>
      <c r="AN6" s="310"/>
      <c r="AO6" s="310"/>
      <c r="AP6" s="310"/>
      <c r="AQ6" s="310"/>
      <c r="AR6" s="313"/>
      <c r="AS6" s="313"/>
      <c r="AT6" s="314"/>
      <c r="AU6" s="311" t="s">
        <v>45</v>
      </c>
      <c r="AV6" s="310"/>
      <c r="AW6" s="310"/>
      <c r="AX6" s="312"/>
      <c r="AY6" s="312"/>
      <c r="AZ6" s="312"/>
      <c r="BA6" s="312"/>
      <c r="BB6" s="312"/>
      <c r="BC6" s="312"/>
      <c r="BD6" s="703" t="str">
        <f>IF('07nen'!$M$8="","",'07nen'!$M$8)</f>
        <v/>
      </c>
      <c r="BE6" s="703"/>
      <c r="BF6" s="703"/>
      <c r="BG6" s="703"/>
      <c r="BH6" s="703"/>
      <c r="BI6" s="703"/>
      <c r="BJ6" s="703"/>
      <c r="BK6" s="703"/>
      <c r="BL6" s="703"/>
      <c r="BM6" s="703"/>
      <c r="BN6" s="703"/>
      <c r="BO6" s="703"/>
      <c r="BP6" s="703"/>
      <c r="BQ6" s="703"/>
      <c r="BR6" s="703"/>
      <c r="BS6" s="703"/>
      <c r="BT6" s="703"/>
      <c r="BU6" s="703"/>
      <c r="BV6" s="703"/>
      <c r="BW6" s="703"/>
      <c r="BX6" s="703"/>
      <c r="BY6" s="703"/>
      <c r="BZ6" s="703"/>
      <c r="CA6" s="704"/>
      <c r="CB6" s="118"/>
      <c r="CG6" s="128"/>
      <c r="CH6" s="128"/>
      <c r="CI6" s="1059" t="s">
        <v>179</v>
      </c>
      <c r="CJ6" s="1060"/>
      <c r="CK6" s="1060"/>
      <c r="CL6" s="1060"/>
      <c r="CM6" s="1061"/>
      <c r="CN6" s="1034" t="s">
        <v>126</v>
      </c>
      <c r="CO6" s="1035"/>
      <c r="CP6" s="1036"/>
      <c r="CQ6" s="1049" t="str">
        <f>IF('07nen'!$M$13="","",'07nen'!$M$13)</f>
        <v/>
      </c>
      <c r="CR6" s="1050"/>
      <c r="CS6" s="1050"/>
      <c r="CT6" s="1050"/>
      <c r="CU6" s="1050"/>
      <c r="CV6" s="1050"/>
      <c r="CW6" s="1050"/>
      <c r="CX6" s="1050"/>
      <c r="CY6" s="1050"/>
      <c r="CZ6" s="1050"/>
      <c r="DA6" s="1050"/>
      <c r="DB6" s="1050"/>
      <c r="DC6" s="1050"/>
      <c r="DD6" s="1050"/>
      <c r="DE6" s="1050"/>
      <c r="DF6" s="1050"/>
      <c r="DG6" s="1050"/>
      <c r="DH6" s="1050"/>
      <c r="DI6" s="1050"/>
      <c r="DJ6" s="1050"/>
      <c r="DK6" s="1050"/>
      <c r="DL6" s="1050"/>
      <c r="DM6" s="1050"/>
      <c r="DN6" s="1050"/>
      <c r="DO6" s="1050"/>
      <c r="DP6" s="1050"/>
      <c r="DQ6" s="1050"/>
      <c r="DR6" s="1050"/>
      <c r="DS6" s="1050"/>
      <c r="DT6" s="1050"/>
      <c r="DU6" s="1050"/>
      <c r="DV6" s="1050"/>
      <c r="DW6" s="1051"/>
      <c r="DX6" s="281" t="s">
        <v>45</v>
      </c>
      <c r="DY6" s="201"/>
      <c r="DZ6" s="201"/>
      <c r="EA6" s="282"/>
      <c r="EB6" s="282"/>
      <c r="EC6" s="282"/>
      <c r="ED6" s="282"/>
      <c r="EE6" s="282"/>
      <c r="EF6" s="282"/>
      <c r="EG6" s="1057" t="str">
        <f>IF('07nen'!$M$8="","",'07nen'!$M$8)</f>
        <v/>
      </c>
      <c r="EH6" s="1057"/>
      <c r="EI6" s="1057"/>
      <c r="EJ6" s="1057"/>
      <c r="EK6" s="1057"/>
      <c r="EL6" s="1057"/>
      <c r="EM6" s="1057"/>
      <c r="EN6" s="1057"/>
      <c r="EO6" s="1057"/>
      <c r="EP6" s="1057"/>
      <c r="EQ6" s="1057"/>
      <c r="ER6" s="1057"/>
      <c r="ES6" s="1057"/>
      <c r="ET6" s="1057"/>
      <c r="EU6" s="1057"/>
      <c r="EV6" s="1057"/>
      <c r="EW6" s="1057"/>
      <c r="EX6" s="1057"/>
      <c r="EY6" s="1057"/>
      <c r="EZ6" s="1057"/>
      <c r="FA6" s="1057"/>
      <c r="FB6" s="1057"/>
      <c r="FC6" s="1057"/>
      <c r="FD6" s="1058"/>
      <c r="FE6" s="126"/>
      <c r="FG6" s="128"/>
    </row>
    <row r="7" spans="1:163" ht="24">
      <c r="A7" s="74"/>
      <c r="B7" s="111"/>
      <c r="F7" s="699"/>
      <c r="G7" s="699"/>
      <c r="H7" s="700"/>
      <c r="I7" s="700"/>
      <c r="J7" s="700"/>
      <c r="K7" s="705" t="s">
        <v>127</v>
      </c>
      <c r="L7" s="705"/>
      <c r="M7" s="705"/>
      <c r="N7" s="686" t="str">
        <f>IF('07nen'!$M$13="","",'07nen'!$M$13)</f>
        <v/>
      </c>
      <c r="O7" s="686"/>
      <c r="P7" s="686"/>
      <c r="Q7" s="686"/>
      <c r="R7" s="686"/>
      <c r="S7" s="686"/>
      <c r="T7" s="686"/>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c r="AT7" s="686"/>
      <c r="AU7" s="687" t="s">
        <v>211</v>
      </c>
      <c r="AV7" s="687"/>
      <c r="AW7" s="687"/>
      <c r="AX7" s="687"/>
      <c r="AY7" s="687"/>
      <c r="AZ7" s="687"/>
      <c r="BA7" s="687"/>
      <c r="BB7" s="687"/>
      <c r="BC7" s="687"/>
      <c r="BD7" s="685" t="str">
        <f>IF('07nen'!$M$9="","",(MIDB('07nen'!$M$9+1000000000000,2,1)))</f>
        <v/>
      </c>
      <c r="BE7" s="685"/>
      <c r="BF7" s="685" t="str">
        <f>IF('07nen'!$M$9="","",(MIDB('07nen'!$M$9+1000000000000,3,1)))</f>
        <v/>
      </c>
      <c r="BG7" s="685"/>
      <c r="BH7" s="685" t="str">
        <f>IF('07nen'!$M$9="","",(MIDB('07nen'!$M$9+1000000000000,4,1)))</f>
        <v/>
      </c>
      <c r="BI7" s="685"/>
      <c r="BJ7" s="685" t="str">
        <f>IF('07nen'!$M$9="","",(MIDB('07nen'!$M$9+1000000000000,5,1)))</f>
        <v/>
      </c>
      <c r="BK7" s="685"/>
      <c r="BL7" s="685" t="str">
        <f>IF('07nen'!$M$9="","",(MIDB('07nen'!$M$9+1000000000000,6,1)))</f>
        <v/>
      </c>
      <c r="BM7" s="685"/>
      <c r="BN7" s="685" t="str">
        <f>IF('07nen'!$M$9="","",(MIDB('07nen'!$M$9+1000000000000,7,1)))</f>
        <v/>
      </c>
      <c r="BO7" s="685"/>
      <c r="BP7" s="685" t="str">
        <f>IF('07nen'!$M$9="","",(MIDB('07nen'!$M$9+1000000000000,8,1)))</f>
        <v/>
      </c>
      <c r="BQ7" s="685"/>
      <c r="BR7" s="685" t="str">
        <f>IF('07nen'!$M$9="","",(MIDB('07nen'!$M$9+1000000000000,9,1)))</f>
        <v/>
      </c>
      <c r="BS7" s="685"/>
      <c r="BT7" s="685" t="str">
        <f>IF('07nen'!$M$9="","",(MIDB('07nen'!$M$9+1000000000000,10,1)))</f>
        <v/>
      </c>
      <c r="BU7" s="685"/>
      <c r="BV7" s="685" t="str">
        <f>IF('07nen'!$M$9="","",(MIDB('07nen'!$M$9+1000000000000,11,1)))</f>
        <v/>
      </c>
      <c r="BW7" s="685"/>
      <c r="BX7" s="685" t="str">
        <f>IF('07nen'!$M$9="","",(MIDB('07nen'!$M$9+1000000000000,12,1)))</f>
        <v/>
      </c>
      <c r="BY7" s="685"/>
      <c r="BZ7" s="685" t="str">
        <f>IF('07nen'!$M$9="","",(MIDB('07nen'!$M$9+1000000000000,13,1)))</f>
        <v/>
      </c>
      <c r="CA7" s="685"/>
      <c r="CB7" s="118"/>
      <c r="CG7" s="128"/>
      <c r="CH7" s="128"/>
      <c r="CI7" s="1062"/>
      <c r="CJ7" s="1063"/>
      <c r="CK7" s="1063"/>
      <c r="CL7" s="1063"/>
      <c r="CM7" s="1064"/>
      <c r="CN7" s="1068"/>
      <c r="CO7" s="1069"/>
      <c r="CP7" s="1070"/>
      <c r="CQ7" s="1052"/>
      <c r="CR7" s="686"/>
      <c r="CS7" s="686"/>
      <c r="CT7" s="686"/>
      <c r="CU7" s="686"/>
      <c r="CV7" s="686"/>
      <c r="CW7" s="686"/>
      <c r="CX7" s="686"/>
      <c r="CY7" s="686"/>
      <c r="CZ7" s="686"/>
      <c r="DA7" s="686"/>
      <c r="DB7" s="686"/>
      <c r="DC7" s="686"/>
      <c r="DD7" s="686"/>
      <c r="DE7" s="686"/>
      <c r="DF7" s="686"/>
      <c r="DG7" s="686"/>
      <c r="DH7" s="686"/>
      <c r="DI7" s="686"/>
      <c r="DJ7" s="686"/>
      <c r="DK7" s="686"/>
      <c r="DL7" s="686"/>
      <c r="DM7" s="686"/>
      <c r="DN7" s="686"/>
      <c r="DO7" s="686"/>
      <c r="DP7" s="686"/>
      <c r="DQ7" s="686"/>
      <c r="DR7" s="686"/>
      <c r="DS7" s="686"/>
      <c r="DT7" s="686"/>
      <c r="DU7" s="686"/>
      <c r="DV7" s="686"/>
      <c r="DW7" s="1053"/>
      <c r="DX7" s="1042"/>
      <c r="DY7" s="1043"/>
      <c r="DZ7" s="1043"/>
      <c r="EA7" s="1043"/>
      <c r="EB7" s="1043"/>
      <c r="EC7" s="1043"/>
      <c r="ED7" s="1043"/>
      <c r="EE7" s="1043"/>
      <c r="EF7" s="1043"/>
      <c r="EG7" s="1043"/>
      <c r="EH7" s="1043"/>
      <c r="EI7" s="1043"/>
      <c r="EJ7" s="1043"/>
      <c r="EK7" s="1043"/>
      <c r="EL7" s="1043"/>
      <c r="EM7" s="1043"/>
      <c r="EN7" s="1043"/>
      <c r="EO7" s="1043"/>
      <c r="EP7" s="1043"/>
      <c r="EQ7" s="1043"/>
      <c r="ER7" s="1043"/>
      <c r="ES7" s="1043"/>
      <c r="ET7" s="1043"/>
      <c r="EU7" s="1043"/>
      <c r="EV7" s="1043"/>
      <c r="EW7" s="1043"/>
      <c r="EX7" s="1043"/>
      <c r="EY7" s="1043"/>
      <c r="EZ7" s="1043"/>
      <c r="FA7" s="1043"/>
      <c r="FB7" s="1043"/>
      <c r="FC7" s="1043"/>
      <c r="FD7" s="1044"/>
      <c r="FE7" s="126"/>
      <c r="FF7" s="128"/>
      <c r="FG7" s="128"/>
    </row>
    <row r="8" spans="1:163" ht="24">
      <c r="A8" s="74"/>
      <c r="B8" s="111"/>
      <c r="F8" s="699"/>
      <c r="G8" s="699"/>
      <c r="H8" s="700"/>
      <c r="I8" s="700"/>
      <c r="J8" s="700"/>
      <c r="K8" s="693"/>
      <c r="L8" s="693"/>
      <c r="M8" s="693"/>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c r="AT8" s="686"/>
      <c r="AU8" s="681" t="s">
        <v>47</v>
      </c>
      <c r="AV8" s="682"/>
      <c r="AW8" s="682"/>
      <c r="AX8" s="682"/>
      <c r="AY8" s="682"/>
      <c r="AZ8" s="682"/>
      <c r="BA8" s="682"/>
      <c r="BB8" s="683" t="str">
        <f>IF('07nen'!$M$10="","",'07nen'!$M$10)</f>
        <v/>
      </c>
      <c r="BC8" s="683"/>
      <c r="BD8" s="683"/>
      <c r="BE8" s="683"/>
      <c r="BF8" s="683"/>
      <c r="BG8" s="683"/>
      <c r="BH8" s="683"/>
      <c r="BI8" s="683"/>
      <c r="BJ8" s="683"/>
      <c r="BK8" s="683"/>
      <c r="BL8" s="683"/>
      <c r="BM8" s="683"/>
      <c r="BN8" s="683"/>
      <c r="BO8" s="683"/>
      <c r="BP8" s="683"/>
      <c r="BQ8" s="683"/>
      <c r="BR8" s="683"/>
      <c r="BS8" s="683"/>
      <c r="BT8" s="683"/>
      <c r="BU8" s="683"/>
      <c r="BV8" s="683"/>
      <c r="BW8" s="683"/>
      <c r="BX8" s="683"/>
      <c r="BY8" s="683"/>
      <c r="BZ8" s="683"/>
      <c r="CA8" s="684"/>
      <c r="CB8" s="118"/>
      <c r="CG8" s="128"/>
      <c r="CH8" s="128"/>
      <c r="CI8" s="1062"/>
      <c r="CJ8" s="1063"/>
      <c r="CK8" s="1063"/>
      <c r="CL8" s="1063"/>
      <c r="CM8" s="1064"/>
      <c r="CN8" s="1068"/>
      <c r="CO8" s="1069"/>
      <c r="CP8" s="1070"/>
      <c r="CQ8" s="1052"/>
      <c r="CR8" s="686"/>
      <c r="CS8" s="686"/>
      <c r="CT8" s="686"/>
      <c r="CU8" s="686"/>
      <c r="CV8" s="686"/>
      <c r="CW8" s="686"/>
      <c r="CX8" s="686"/>
      <c r="CY8" s="686"/>
      <c r="CZ8" s="686"/>
      <c r="DA8" s="686"/>
      <c r="DB8" s="686"/>
      <c r="DC8" s="686"/>
      <c r="DD8" s="686"/>
      <c r="DE8" s="686"/>
      <c r="DF8" s="686"/>
      <c r="DG8" s="686"/>
      <c r="DH8" s="686"/>
      <c r="DI8" s="686"/>
      <c r="DJ8" s="686"/>
      <c r="DK8" s="686"/>
      <c r="DL8" s="686"/>
      <c r="DM8" s="686"/>
      <c r="DN8" s="686"/>
      <c r="DO8" s="686"/>
      <c r="DP8" s="686"/>
      <c r="DQ8" s="686"/>
      <c r="DR8" s="686"/>
      <c r="DS8" s="686"/>
      <c r="DT8" s="686"/>
      <c r="DU8" s="686"/>
      <c r="DV8" s="686"/>
      <c r="DW8" s="1053"/>
      <c r="DX8" s="1045" t="s">
        <v>47</v>
      </c>
      <c r="DY8" s="1046"/>
      <c r="DZ8" s="1046"/>
      <c r="EA8" s="1046"/>
      <c r="EB8" s="1046"/>
      <c r="EC8" s="1046"/>
      <c r="ED8" s="1046"/>
      <c r="EE8" s="1047" t="str">
        <f>IF('07nen'!$M$10="","",'07nen'!$M$10)</f>
        <v/>
      </c>
      <c r="EF8" s="1047"/>
      <c r="EG8" s="1047"/>
      <c r="EH8" s="1047"/>
      <c r="EI8" s="1047"/>
      <c r="EJ8" s="1047"/>
      <c r="EK8" s="1047"/>
      <c r="EL8" s="1047"/>
      <c r="EM8" s="1047"/>
      <c r="EN8" s="1047"/>
      <c r="EO8" s="1047"/>
      <c r="EP8" s="1047"/>
      <c r="EQ8" s="1047"/>
      <c r="ER8" s="1047"/>
      <c r="ES8" s="1047"/>
      <c r="ET8" s="1047"/>
      <c r="EU8" s="1047"/>
      <c r="EV8" s="1047"/>
      <c r="EW8" s="1047"/>
      <c r="EX8" s="1047"/>
      <c r="EY8" s="1047"/>
      <c r="EZ8" s="1047"/>
      <c r="FA8" s="1047"/>
      <c r="FB8" s="1047"/>
      <c r="FC8" s="1047"/>
      <c r="FD8" s="1048"/>
      <c r="FE8" s="126"/>
      <c r="FF8" s="128"/>
      <c r="FG8" s="128"/>
    </row>
    <row r="9" spans="1:163" ht="24">
      <c r="A9" s="74"/>
      <c r="B9" s="111"/>
      <c r="F9" s="700"/>
      <c r="G9" s="700"/>
      <c r="H9" s="700"/>
      <c r="I9" s="700"/>
      <c r="J9" s="700"/>
      <c r="K9" s="693"/>
      <c r="L9" s="693"/>
      <c r="M9" s="693"/>
      <c r="N9" s="686"/>
      <c r="O9" s="686"/>
      <c r="P9" s="686"/>
      <c r="Q9" s="686"/>
      <c r="R9" s="686"/>
      <c r="S9" s="686"/>
      <c r="T9" s="686"/>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c r="AT9" s="686"/>
      <c r="AU9" s="693" t="s">
        <v>210</v>
      </c>
      <c r="AV9" s="693"/>
      <c r="AW9" s="693"/>
      <c r="AX9" s="695" t="s">
        <v>46</v>
      </c>
      <c r="AY9" s="696"/>
      <c r="AZ9" s="696"/>
      <c r="BA9" s="696"/>
      <c r="BB9" s="697" t="str">
        <f>IF('07nen'!$M$11="","",'07nen'!$M$11)</f>
        <v/>
      </c>
      <c r="BC9" s="697"/>
      <c r="BD9" s="697"/>
      <c r="BE9" s="697"/>
      <c r="BF9" s="697"/>
      <c r="BG9" s="697"/>
      <c r="BH9" s="697"/>
      <c r="BI9" s="697"/>
      <c r="BJ9" s="697"/>
      <c r="BK9" s="697"/>
      <c r="BL9" s="697"/>
      <c r="BM9" s="697"/>
      <c r="BN9" s="310"/>
      <c r="BO9" s="310"/>
      <c r="BP9" s="697" t="str">
        <f>IF('07nen'!$N$11="","",'07nen'!$N$11)</f>
        <v/>
      </c>
      <c r="BQ9" s="697"/>
      <c r="BR9" s="697"/>
      <c r="BS9" s="697"/>
      <c r="BT9" s="697"/>
      <c r="BU9" s="697"/>
      <c r="BV9" s="697"/>
      <c r="BW9" s="697"/>
      <c r="BX9" s="697"/>
      <c r="BY9" s="697"/>
      <c r="BZ9" s="697"/>
      <c r="CA9" s="698"/>
      <c r="CB9" s="118"/>
      <c r="CG9" s="128"/>
      <c r="CH9" s="128"/>
      <c r="CI9" s="1062"/>
      <c r="CJ9" s="1063"/>
      <c r="CK9" s="1063"/>
      <c r="CL9" s="1063"/>
      <c r="CM9" s="1064"/>
      <c r="CN9" s="1068"/>
      <c r="CO9" s="1069"/>
      <c r="CP9" s="1070"/>
      <c r="CQ9" s="1052"/>
      <c r="CR9" s="686"/>
      <c r="CS9" s="686"/>
      <c r="CT9" s="686"/>
      <c r="CU9" s="686"/>
      <c r="CV9" s="686"/>
      <c r="CW9" s="686"/>
      <c r="CX9" s="686"/>
      <c r="CY9" s="686"/>
      <c r="CZ9" s="686"/>
      <c r="DA9" s="686"/>
      <c r="DB9" s="686"/>
      <c r="DC9" s="686"/>
      <c r="DD9" s="686"/>
      <c r="DE9" s="686"/>
      <c r="DF9" s="686"/>
      <c r="DG9" s="686"/>
      <c r="DH9" s="686"/>
      <c r="DI9" s="686"/>
      <c r="DJ9" s="686"/>
      <c r="DK9" s="686"/>
      <c r="DL9" s="686"/>
      <c r="DM9" s="686"/>
      <c r="DN9" s="686"/>
      <c r="DO9" s="686"/>
      <c r="DP9" s="686"/>
      <c r="DQ9" s="686"/>
      <c r="DR9" s="686"/>
      <c r="DS9" s="686"/>
      <c r="DT9" s="686"/>
      <c r="DU9" s="686"/>
      <c r="DV9" s="686"/>
      <c r="DW9" s="1053"/>
      <c r="DX9" s="1034" t="s">
        <v>210</v>
      </c>
      <c r="DY9" s="1035"/>
      <c r="DZ9" s="1036"/>
      <c r="EA9" s="1040" t="s">
        <v>46</v>
      </c>
      <c r="EB9" s="1041"/>
      <c r="EC9" s="1041"/>
      <c r="ED9" s="1041"/>
      <c r="EE9" s="1013" t="str">
        <f>IF('07nen'!$M$11="","",'07nen'!$M$11)</f>
        <v/>
      </c>
      <c r="EF9" s="1013"/>
      <c r="EG9" s="1013"/>
      <c r="EH9" s="1013"/>
      <c r="EI9" s="1013"/>
      <c r="EJ9" s="1013"/>
      <c r="EK9" s="1013"/>
      <c r="EL9" s="1013"/>
      <c r="EM9" s="1013"/>
      <c r="EN9" s="1013"/>
      <c r="EO9" s="1013"/>
      <c r="EP9" s="1013"/>
      <c r="EQ9" s="201"/>
      <c r="ER9" s="201"/>
      <c r="ES9" s="1014" t="str">
        <f>IF('07nen'!$N$11="","",'07nen'!$N$11)</f>
        <v/>
      </c>
      <c r="ET9" s="1014"/>
      <c r="EU9" s="1014"/>
      <c r="EV9" s="1014"/>
      <c r="EW9" s="1014"/>
      <c r="EX9" s="1014"/>
      <c r="EY9" s="1014"/>
      <c r="EZ9" s="1014"/>
      <c r="FA9" s="1014"/>
      <c r="FB9" s="1014"/>
      <c r="FC9" s="1014"/>
      <c r="FD9" s="1015"/>
      <c r="FE9" s="126"/>
      <c r="FF9" s="128"/>
      <c r="FG9" s="128"/>
    </row>
    <row r="10" spans="1:163" ht="42">
      <c r="A10" s="75"/>
      <c r="B10" s="111"/>
      <c r="F10" s="701"/>
      <c r="G10" s="701"/>
      <c r="H10" s="701"/>
      <c r="I10" s="701"/>
      <c r="J10" s="701"/>
      <c r="K10" s="694"/>
      <c r="L10" s="694"/>
      <c r="M10" s="694"/>
      <c r="N10" s="686"/>
      <c r="O10" s="686"/>
      <c r="P10" s="686"/>
      <c r="Q10" s="686"/>
      <c r="R10" s="686"/>
      <c r="S10" s="686"/>
      <c r="T10" s="686"/>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c r="AT10" s="686"/>
      <c r="AU10" s="694"/>
      <c r="AV10" s="694"/>
      <c r="AW10" s="694"/>
      <c r="AX10" s="322"/>
      <c r="AY10" s="323"/>
      <c r="AZ10" s="324"/>
      <c r="BA10" s="323"/>
      <c r="BB10" s="691" t="str">
        <f>IF('07nen'!$M$12="","",'07nen'!$M$12)</f>
        <v/>
      </c>
      <c r="BC10" s="691"/>
      <c r="BD10" s="691"/>
      <c r="BE10" s="691"/>
      <c r="BF10" s="691"/>
      <c r="BG10" s="691"/>
      <c r="BH10" s="691"/>
      <c r="BI10" s="691"/>
      <c r="BJ10" s="691"/>
      <c r="BK10" s="691"/>
      <c r="BL10" s="691"/>
      <c r="BM10" s="691"/>
      <c r="BN10" s="323"/>
      <c r="BO10" s="323"/>
      <c r="BP10" s="691" t="str">
        <f>IF('07nen'!$N$12="","",'07nen'!$N$12)</f>
        <v/>
      </c>
      <c r="BQ10" s="691"/>
      <c r="BR10" s="691"/>
      <c r="BS10" s="691"/>
      <c r="BT10" s="691"/>
      <c r="BU10" s="691"/>
      <c r="BV10" s="691"/>
      <c r="BW10" s="691"/>
      <c r="BX10" s="691"/>
      <c r="BY10" s="691"/>
      <c r="BZ10" s="691"/>
      <c r="CA10" s="692"/>
      <c r="CB10" s="118"/>
      <c r="CG10" s="128"/>
      <c r="CH10" s="128"/>
      <c r="CI10" s="1065"/>
      <c r="CJ10" s="1066"/>
      <c r="CK10" s="1066"/>
      <c r="CL10" s="1066"/>
      <c r="CM10" s="1067"/>
      <c r="CN10" s="1037"/>
      <c r="CO10" s="1038"/>
      <c r="CP10" s="1039"/>
      <c r="CQ10" s="1054"/>
      <c r="CR10" s="1055"/>
      <c r="CS10" s="1055"/>
      <c r="CT10" s="1055"/>
      <c r="CU10" s="1055"/>
      <c r="CV10" s="1055"/>
      <c r="CW10" s="1055"/>
      <c r="CX10" s="1055"/>
      <c r="CY10" s="1055"/>
      <c r="CZ10" s="1055"/>
      <c r="DA10" s="1055"/>
      <c r="DB10" s="1055"/>
      <c r="DC10" s="1055"/>
      <c r="DD10" s="1055"/>
      <c r="DE10" s="1055"/>
      <c r="DF10" s="1055"/>
      <c r="DG10" s="1055"/>
      <c r="DH10" s="1055"/>
      <c r="DI10" s="1055"/>
      <c r="DJ10" s="1055"/>
      <c r="DK10" s="1055"/>
      <c r="DL10" s="1055"/>
      <c r="DM10" s="1055"/>
      <c r="DN10" s="1055"/>
      <c r="DO10" s="1055"/>
      <c r="DP10" s="1055"/>
      <c r="DQ10" s="1055"/>
      <c r="DR10" s="1055"/>
      <c r="DS10" s="1055"/>
      <c r="DT10" s="1055"/>
      <c r="DU10" s="1055"/>
      <c r="DV10" s="1055"/>
      <c r="DW10" s="1056"/>
      <c r="DX10" s="1037"/>
      <c r="DY10" s="1038"/>
      <c r="DZ10" s="1039"/>
      <c r="EA10" s="201"/>
      <c r="EB10" s="201"/>
      <c r="EC10" s="202"/>
      <c r="ED10" s="201"/>
      <c r="EE10" s="1016" t="str">
        <f>IF('07nen'!$M$12="","",'07nen'!$M$12)</f>
        <v/>
      </c>
      <c r="EF10" s="1016"/>
      <c r="EG10" s="1016"/>
      <c r="EH10" s="1016"/>
      <c r="EI10" s="1016"/>
      <c r="EJ10" s="1016"/>
      <c r="EK10" s="1016"/>
      <c r="EL10" s="1016"/>
      <c r="EM10" s="1016"/>
      <c r="EN10" s="1016"/>
      <c r="EO10" s="1016"/>
      <c r="EP10" s="1016"/>
      <c r="EQ10" s="201"/>
      <c r="ER10" s="201"/>
      <c r="ES10" s="1016" t="str">
        <f>IF('07nen'!$N$12="","",'07nen'!$N$12)</f>
        <v/>
      </c>
      <c r="ET10" s="1016"/>
      <c r="EU10" s="1016"/>
      <c r="EV10" s="1016"/>
      <c r="EW10" s="1016"/>
      <c r="EX10" s="1016"/>
      <c r="EY10" s="1016"/>
      <c r="EZ10" s="1016"/>
      <c r="FA10" s="1016"/>
      <c r="FB10" s="1016"/>
      <c r="FC10" s="1016"/>
      <c r="FD10" s="1017"/>
      <c r="FE10" s="126"/>
      <c r="FF10" s="128"/>
      <c r="FG10" s="128"/>
    </row>
    <row r="11" spans="1:163" s="99" customFormat="1" ht="30.6" customHeight="1" thickBot="1">
      <c r="A11" s="102"/>
      <c r="B11" s="111"/>
      <c r="F11" s="637" t="s">
        <v>48</v>
      </c>
      <c r="G11" s="638"/>
      <c r="H11" s="638"/>
      <c r="I11" s="638"/>
      <c r="J11" s="638"/>
      <c r="K11" s="638"/>
      <c r="L11" s="638"/>
      <c r="M11" s="638"/>
      <c r="N11" s="638"/>
      <c r="O11" s="638"/>
      <c r="P11" s="638"/>
      <c r="Q11" s="638"/>
      <c r="R11" s="638"/>
      <c r="S11" s="639"/>
      <c r="T11" s="706" t="s">
        <v>49</v>
      </c>
      <c r="U11" s="706"/>
      <c r="V11" s="706"/>
      <c r="W11" s="706"/>
      <c r="X11" s="706"/>
      <c r="Y11" s="706"/>
      <c r="Z11" s="706"/>
      <c r="AA11" s="706"/>
      <c r="AB11" s="706"/>
      <c r="AC11" s="706"/>
      <c r="AD11" s="706"/>
      <c r="AE11" s="706"/>
      <c r="AF11" s="706"/>
      <c r="AG11" s="706"/>
      <c r="AH11" s="706"/>
      <c r="AI11" s="707" t="s">
        <v>351</v>
      </c>
      <c r="AJ11" s="708"/>
      <c r="AK11" s="708"/>
      <c r="AL11" s="708"/>
      <c r="AM11" s="708"/>
      <c r="AN11" s="708"/>
      <c r="AO11" s="708"/>
      <c r="AP11" s="708"/>
      <c r="AQ11" s="708"/>
      <c r="AR11" s="708"/>
      <c r="AS11" s="708"/>
      <c r="AT11" s="708"/>
      <c r="AU11" s="708"/>
      <c r="AV11" s="708"/>
      <c r="AW11" s="708"/>
      <c r="AX11" s="709" t="s">
        <v>209</v>
      </c>
      <c r="AY11" s="709"/>
      <c r="AZ11" s="709"/>
      <c r="BA11" s="709"/>
      <c r="BB11" s="709"/>
      <c r="BC11" s="709"/>
      <c r="BD11" s="709"/>
      <c r="BE11" s="709"/>
      <c r="BF11" s="709"/>
      <c r="BG11" s="709"/>
      <c r="BH11" s="709"/>
      <c r="BI11" s="709"/>
      <c r="BJ11" s="709"/>
      <c r="BK11" s="709"/>
      <c r="BL11" s="709"/>
      <c r="BM11" s="710" t="s">
        <v>212</v>
      </c>
      <c r="BN11" s="710"/>
      <c r="BO11" s="710"/>
      <c r="BP11" s="710"/>
      <c r="BQ11" s="710"/>
      <c r="BR11" s="710"/>
      <c r="BS11" s="710"/>
      <c r="BT11" s="710"/>
      <c r="BU11" s="710"/>
      <c r="BV11" s="710"/>
      <c r="BW11" s="710"/>
      <c r="BX11" s="710"/>
      <c r="BY11" s="710"/>
      <c r="BZ11" s="710"/>
      <c r="CA11" s="710"/>
      <c r="CB11" s="118"/>
      <c r="CG11" s="128"/>
      <c r="CH11" s="128"/>
      <c r="CI11" s="1025" t="s">
        <v>48</v>
      </c>
      <c r="CJ11" s="1026"/>
      <c r="CK11" s="1026"/>
      <c r="CL11" s="1026"/>
      <c r="CM11" s="1026"/>
      <c r="CN11" s="1026"/>
      <c r="CO11" s="1026"/>
      <c r="CP11" s="1026"/>
      <c r="CQ11" s="1026"/>
      <c r="CR11" s="1026"/>
      <c r="CS11" s="1026"/>
      <c r="CT11" s="1026"/>
      <c r="CU11" s="1026"/>
      <c r="CV11" s="1027"/>
      <c r="CW11" s="1025" t="s">
        <v>49</v>
      </c>
      <c r="CX11" s="1026"/>
      <c r="CY11" s="1026"/>
      <c r="CZ11" s="1026"/>
      <c r="DA11" s="1026"/>
      <c r="DB11" s="1026"/>
      <c r="DC11" s="1026"/>
      <c r="DD11" s="1026"/>
      <c r="DE11" s="1026"/>
      <c r="DF11" s="1026"/>
      <c r="DG11" s="1026"/>
      <c r="DH11" s="1026"/>
      <c r="DI11" s="1026"/>
      <c r="DJ11" s="1026"/>
      <c r="DK11" s="1027"/>
      <c r="DL11" s="1028" t="s">
        <v>351</v>
      </c>
      <c r="DM11" s="1029"/>
      <c r="DN11" s="1029"/>
      <c r="DO11" s="1029"/>
      <c r="DP11" s="1029"/>
      <c r="DQ11" s="1029"/>
      <c r="DR11" s="1029"/>
      <c r="DS11" s="1029"/>
      <c r="DT11" s="1029"/>
      <c r="DU11" s="1029"/>
      <c r="DV11" s="1029"/>
      <c r="DW11" s="1029"/>
      <c r="DX11" s="1029"/>
      <c r="DY11" s="1029"/>
      <c r="DZ11" s="1030"/>
      <c r="EA11" s="1031" t="s">
        <v>209</v>
      </c>
      <c r="EB11" s="1032"/>
      <c r="EC11" s="1032"/>
      <c r="ED11" s="1032"/>
      <c r="EE11" s="1032"/>
      <c r="EF11" s="1032"/>
      <c r="EG11" s="1032"/>
      <c r="EH11" s="1032"/>
      <c r="EI11" s="1032"/>
      <c r="EJ11" s="1032"/>
      <c r="EK11" s="1032"/>
      <c r="EL11" s="1032"/>
      <c r="EM11" s="1032"/>
      <c r="EN11" s="1032"/>
      <c r="EO11" s="1033"/>
      <c r="EP11" s="1025" t="s">
        <v>212</v>
      </c>
      <c r="EQ11" s="1026"/>
      <c r="ER11" s="1026"/>
      <c r="ES11" s="1026"/>
      <c r="ET11" s="1026"/>
      <c r="EU11" s="1026"/>
      <c r="EV11" s="1026"/>
      <c r="EW11" s="1026"/>
      <c r="EX11" s="1026"/>
      <c r="EY11" s="1026"/>
      <c r="EZ11" s="1026"/>
      <c r="FA11" s="1026"/>
      <c r="FB11" s="1026"/>
      <c r="FC11" s="1026"/>
      <c r="FD11" s="1027"/>
      <c r="FE11" s="126"/>
      <c r="FF11" s="128"/>
      <c r="FG11" s="128"/>
    </row>
    <row r="12" spans="1:163" ht="24">
      <c r="A12" s="98"/>
      <c r="B12" s="111"/>
      <c r="F12" s="668" t="s">
        <v>146</v>
      </c>
      <c r="G12" s="669"/>
      <c r="H12" s="669"/>
      <c r="I12" s="669"/>
      <c r="J12" s="669"/>
      <c r="K12" s="669"/>
      <c r="L12" s="669"/>
      <c r="M12" s="669"/>
      <c r="N12" s="669"/>
      <c r="O12" s="669"/>
      <c r="P12" s="669"/>
      <c r="Q12" s="669"/>
      <c r="R12" s="669"/>
      <c r="S12" s="669"/>
      <c r="T12" s="738" t="s">
        <v>141</v>
      </c>
      <c r="U12" s="739"/>
      <c r="V12" s="740" t="str">
        <f>IF('07nen'!$W$30="","",'07nen'!$W$30)</f>
        <v/>
      </c>
      <c r="W12" s="740"/>
      <c r="X12" s="740"/>
      <c r="Y12" s="740"/>
      <c r="Z12" s="740"/>
      <c r="AA12" s="740"/>
      <c r="AB12" s="740"/>
      <c r="AC12" s="740"/>
      <c r="AD12" s="740"/>
      <c r="AE12" s="740"/>
      <c r="AF12" s="740"/>
      <c r="AG12" s="627" t="s">
        <v>140</v>
      </c>
      <c r="AH12" s="628"/>
      <c r="AI12" s="626" t="s">
        <v>260</v>
      </c>
      <c r="AJ12" s="627"/>
      <c r="AK12" s="627"/>
      <c r="AL12" s="627"/>
      <c r="AM12" s="627"/>
      <c r="AN12" s="627"/>
      <c r="AO12" s="627"/>
      <c r="AP12" s="627"/>
      <c r="AQ12" s="627"/>
      <c r="AR12" s="627"/>
      <c r="AS12" s="627"/>
      <c r="AT12" s="627"/>
      <c r="AU12" s="627"/>
      <c r="AV12" s="627"/>
      <c r="AW12" s="628"/>
      <c r="AX12" s="661" t="s">
        <v>50</v>
      </c>
      <c r="AY12" s="661"/>
      <c r="AZ12" s="661"/>
      <c r="BA12" s="661"/>
      <c r="BB12" s="661"/>
      <c r="BC12" s="661"/>
      <c r="BD12" s="661"/>
      <c r="BE12" s="661"/>
      <c r="BF12" s="661"/>
      <c r="BG12" s="661"/>
      <c r="BH12" s="661"/>
      <c r="BI12" s="661"/>
      <c r="BJ12" s="661"/>
      <c r="BK12" s="661"/>
      <c r="BL12" s="662"/>
      <c r="BM12" s="318" t="s">
        <v>51</v>
      </c>
      <c r="BN12" s="319"/>
      <c r="BO12" s="663" t="str">
        <f>IF('07nen'!$Y$30="","",'07nen'!$Y$30)</f>
        <v/>
      </c>
      <c r="BP12" s="663"/>
      <c r="BQ12" s="663"/>
      <c r="BR12" s="663"/>
      <c r="BS12" s="663"/>
      <c r="BT12" s="663"/>
      <c r="BU12" s="663"/>
      <c r="BV12" s="663"/>
      <c r="BW12" s="663"/>
      <c r="BX12" s="663"/>
      <c r="BY12" s="663"/>
      <c r="BZ12" s="661" t="s">
        <v>50</v>
      </c>
      <c r="CA12" s="662"/>
      <c r="CB12" s="118"/>
      <c r="CG12" s="128"/>
      <c r="CH12" s="128"/>
      <c r="CI12" s="1078" t="str">
        <f>+$F$12</f>
        <v>給料・賞与</v>
      </c>
      <c r="CJ12" s="1079"/>
      <c r="CK12" s="1079"/>
      <c r="CL12" s="1079"/>
      <c r="CM12" s="1079"/>
      <c r="CN12" s="1079"/>
      <c r="CO12" s="1079"/>
      <c r="CP12" s="1079"/>
      <c r="CQ12" s="1079"/>
      <c r="CR12" s="1079"/>
      <c r="CS12" s="1079"/>
      <c r="CT12" s="1079"/>
      <c r="CU12" s="1079"/>
      <c r="CV12" s="1080"/>
      <c r="CW12" s="1084" t="s">
        <v>141</v>
      </c>
      <c r="CX12" s="1085"/>
      <c r="CY12" s="1086" t="str">
        <f>IF('07nen'!$W$30="","",'07nen'!$W$30)</f>
        <v/>
      </c>
      <c r="CZ12" s="1086"/>
      <c r="DA12" s="1086"/>
      <c r="DB12" s="1086"/>
      <c r="DC12" s="1086"/>
      <c r="DD12" s="1086"/>
      <c r="DE12" s="1086"/>
      <c r="DF12" s="1086"/>
      <c r="DG12" s="1086"/>
      <c r="DH12" s="1086"/>
      <c r="DI12" s="1086"/>
      <c r="DJ12" s="1072" t="s">
        <v>140</v>
      </c>
      <c r="DK12" s="1073"/>
      <c r="DL12" s="1071" t="s">
        <v>260</v>
      </c>
      <c r="DM12" s="1072"/>
      <c r="DN12" s="1072"/>
      <c r="DO12" s="1072"/>
      <c r="DP12" s="1072"/>
      <c r="DQ12" s="1072"/>
      <c r="DR12" s="1072"/>
      <c r="DS12" s="1072"/>
      <c r="DT12" s="1072"/>
      <c r="DU12" s="1072"/>
      <c r="DV12" s="1072"/>
      <c r="DW12" s="1072"/>
      <c r="DX12" s="1072"/>
      <c r="DY12" s="1072"/>
      <c r="DZ12" s="1073"/>
      <c r="EA12" s="1071" t="s">
        <v>50</v>
      </c>
      <c r="EB12" s="1072"/>
      <c r="EC12" s="1072"/>
      <c r="ED12" s="1072"/>
      <c r="EE12" s="1072"/>
      <c r="EF12" s="1072"/>
      <c r="EG12" s="1072"/>
      <c r="EH12" s="1072"/>
      <c r="EI12" s="1072"/>
      <c r="EJ12" s="1072"/>
      <c r="EK12" s="1072"/>
      <c r="EL12" s="1072"/>
      <c r="EM12" s="1072"/>
      <c r="EN12" s="1072"/>
      <c r="EO12" s="1073"/>
      <c r="EP12" s="203" t="s">
        <v>51</v>
      </c>
      <c r="EQ12" s="203"/>
      <c r="ER12" s="1074" t="str">
        <f>IF('07nen'!$Y$30="","",'07nen'!$Y$30)</f>
        <v/>
      </c>
      <c r="ES12" s="1074"/>
      <c r="ET12" s="1074"/>
      <c r="EU12" s="1074"/>
      <c r="EV12" s="1074"/>
      <c r="EW12" s="1074"/>
      <c r="EX12" s="1074"/>
      <c r="EY12" s="1074"/>
      <c r="EZ12" s="1074"/>
      <c r="FA12" s="1074"/>
      <c r="FB12" s="1074"/>
      <c r="FC12" s="1072" t="s">
        <v>50</v>
      </c>
      <c r="FD12" s="1073"/>
      <c r="FE12" s="126"/>
      <c r="FF12" s="128"/>
      <c r="FG12" s="128"/>
    </row>
    <row r="13" spans="1:163" ht="31.5" thickBot="1">
      <c r="A13" s="102"/>
      <c r="B13" s="111"/>
      <c r="F13" s="670"/>
      <c r="G13" s="671"/>
      <c r="H13" s="671"/>
      <c r="I13" s="671"/>
      <c r="J13" s="671"/>
      <c r="K13" s="671"/>
      <c r="L13" s="671"/>
      <c r="M13" s="671"/>
      <c r="N13" s="671"/>
      <c r="O13" s="671"/>
      <c r="P13" s="671"/>
      <c r="Q13" s="671"/>
      <c r="R13" s="671"/>
      <c r="S13" s="671"/>
      <c r="T13" s="759">
        <f>IF('07nen'!$X$33="","",'07nen'!$X$33)</f>
        <v>0</v>
      </c>
      <c r="U13" s="760"/>
      <c r="V13" s="760"/>
      <c r="W13" s="760"/>
      <c r="X13" s="760"/>
      <c r="Y13" s="760"/>
      <c r="Z13" s="760"/>
      <c r="AA13" s="760"/>
      <c r="AB13" s="760"/>
      <c r="AC13" s="760"/>
      <c r="AD13" s="760"/>
      <c r="AE13" s="760"/>
      <c r="AF13" s="760"/>
      <c r="AG13" s="760"/>
      <c r="AH13" s="761"/>
      <c r="AI13" s="759">
        <f>IF('07nen'!$O$8="甲欄",IF('07nen'!$X$36="","",'07nen'!$X$36),"")</f>
        <v>0</v>
      </c>
      <c r="AJ13" s="760"/>
      <c r="AK13" s="760"/>
      <c r="AL13" s="760"/>
      <c r="AM13" s="760"/>
      <c r="AN13" s="760"/>
      <c r="AO13" s="760"/>
      <c r="AP13" s="760"/>
      <c r="AQ13" s="760"/>
      <c r="AR13" s="760"/>
      <c r="AS13" s="760"/>
      <c r="AT13" s="760"/>
      <c r="AU13" s="760"/>
      <c r="AV13" s="760"/>
      <c r="AW13" s="761"/>
      <c r="AX13" s="762">
        <f>IF('07nen'!$O$8="甲欄",IF('07nen'!$X$47="","",'07nen'!$X$47),"")</f>
        <v>950000</v>
      </c>
      <c r="AY13" s="763"/>
      <c r="AZ13" s="763"/>
      <c r="BA13" s="763"/>
      <c r="BB13" s="763"/>
      <c r="BC13" s="763"/>
      <c r="BD13" s="763"/>
      <c r="BE13" s="763"/>
      <c r="BF13" s="763"/>
      <c r="BG13" s="763"/>
      <c r="BH13" s="763"/>
      <c r="BI13" s="763"/>
      <c r="BJ13" s="763"/>
      <c r="BK13" s="763"/>
      <c r="BL13" s="764"/>
      <c r="BM13" s="765">
        <f>IF('07nen'!$Y$51="","",'07nen'!$Y$51)</f>
        <v>0</v>
      </c>
      <c r="BN13" s="763"/>
      <c r="BO13" s="763"/>
      <c r="BP13" s="763"/>
      <c r="BQ13" s="763"/>
      <c r="BR13" s="763"/>
      <c r="BS13" s="763"/>
      <c r="BT13" s="763"/>
      <c r="BU13" s="763"/>
      <c r="BV13" s="763"/>
      <c r="BW13" s="763"/>
      <c r="BX13" s="763"/>
      <c r="BY13" s="763"/>
      <c r="BZ13" s="763"/>
      <c r="CA13" s="764"/>
      <c r="CB13" s="118"/>
      <c r="CG13" s="128"/>
      <c r="CH13" s="128"/>
      <c r="CI13" s="1081"/>
      <c r="CJ13" s="1082"/>
      <c r="CK13" s="1082"/>
      <c r="CL13" s="1082"/>
      <c r="CM13" s="1082"/>
      <c r="CN13" s="1082"/>
      <c r="CO13" s="1082"/>
      <c r="CP13" s="1082"/>
      <c r="CQ13" s="1082"/>
      <c r="CR13" s="1082"/>
      <c r="CS13" s="1082"/>
      <c r="CT13" s="1082"/>
      <c r="CU13" s="1082"/>
      <c r="CV13" s="1083"/>
      <c r="CW13" s="1075">
        <f>IF('07nen'!$X$33="","",'07nen'!$X$33)</f>
        <v>0</v>
      </c>
      <c r="CX13" s="1076"/>
      <c r="CY13" s="1076"/>
      <c r="CZ13" s="1076"/>
      <c r="DA13" s="1076"/>
      <c r="DB13" s="1076"/>
      <c r="DC13" s="1076"/>
      <c r="DD13" s="1076"/>
      <c r="DE13" s="1076"/>
      <c r="DF13" s="1076"/>
      <c r="DG13" s="1076"/>
      <c r="DH13" s="1076"/>
      <c r="DI13" s="1076"/>
      <c r="DJ13" s="1076"/>
      <c r="DK13" s="1077"/>
      <c r="DL13" s="1075">
        <f>IF('07nen'!$O$8="甲欄",IF('07nen'!$X$36="","",'07nen'!$X$36),"")</f>
        <v>0</v>
      </c>
      <c r="DM13" s="1076"/>
      <c r="DN13" s="1076"/>
      <c r="DO13" s="1076"/>
      <c r="DP13" s="1076"/>
      <c r="DQ13" s="1076"/>
      <c r="DR13" s="1076"/>
      <c r="DS13" s="1076"/>
      <c r="DT13" s="1076"/>
      <c r="DU13" s="1076"/>
      <c r="DV13" s="1076"/>
      <c r="DW13" s="1076"/>
      <c r="DX13" s="1076"/>
      <c r="DY13" s="1076"/>
      <c r="DZ13" s="1077"/>
      <c r="EA13" s="1075">
        <f>IF('07nen'!$O$8="甲欄",IF('07nen'!$X$47="","",'07nen'!$X$47),"")</f>
        <v>950000</v>
      </c>
      <c r="EB13" s="1076"/>
      <c r="EC13" s="1076"/>
      <c r="ED13" s="1076"/>
      <c r="EE13" s="1076"/>
      <c r="EF13" s="1076"/>
      <c r="EG13" s="1076"/>
      <c r="EH13" s="1076"/>
      <c r="EI13" s="1076"/>
      <c r="EJ13" s="1076"/>
      <c r="EK13" s="1076"/>
      <c r="EL13" s="1076"/>
      <c r="EM13" s="1076"/>
      <c r="EN13" s="1076"/>
      <c r="EO13" s="1077"/>
      <c r="EP13" s="1075">
        <f>IF('07nen'!$Y$51="","",'07nen'!$Y$51)</f>
        <v>0</v>
      </c>
      <c r="EQ13" s="1076"/>
      <c r="ER13" s="1076"/>
      <c r="ES13" s="1076"/>
      <c r="ET13" s="1076"/>
      <c r="EU13" s="1076"/>
      <c r="EV13" s="1076"/>
      <c r="EW13" s="1076"/>
      <c r="EX13" s="1076"/>
      <c r="EY13" s="1076"/>
      <c r="EZ13" s="1076"/>
      <c r="FA13" s="1076"/>
      <c r="FB13" s="1076"/>
      <c r="FC13" s="1076"/>
      <c r="FD13" s="1077"/>
      <c r="FE13" s="126"/>
      <c r="FF13" s="128"/>
      <c r="FG13" s="128"/>
    </row>
    <row r="14" spans="1:163" s="99" customFormat="1" ht="16.149999999999999" customHeight="1">
      <c r="A14" s="77"/>
      <c r="B14" s="111"/>
      <c r="F14" s="745" t="s">
        <v>356</v>
      </c>
      <c r="G14" s="746"/>
      <c r="H14" s="746"/>
      <c r="I14" s="746"/>
      <c r="J14" s="746"/>
      <c r="K14" s="746"/>
      <c r="L14" s="746"/>
      <c r="M14" s="746"/>
      <c r="N14" s="746"/>
      <c r="O14" s="746"/>
      <c r="P14" s="746"/>
      <c r="Q14" s="746"/>
      <c r="R14" s="747"/>
      <c r="S14" s="751" t="s">
        <v>298</v>
      </c>
      <c r="T14" s="751"/>
      <c r="U14" s="751"/>
      <c r="V14" s="751"/>
      <c r="W14" s="751"/>
      <c r="X14" s="751"/>
      <c r="Y14" s="751"/>
      <c r="Z14" s="751"/>
      <c r="AA14" s="751"/>
      <c r="AB14" s="751"/>
      <c r="AC14" s="751"/>
      <c r="AD14" s="751"/>
      <c r="AE14" s="751"/>
      <c r="AF14" s="655" t="s">
        <v>163</v>
      </c>
      <c r="AG14" s="656"/>
      <c r="AH14" s="656"/>
      <c r="AI14" s="656"/>
      <c r="AJ14" s="656"/>
      <c r="AK14" s="656"/>
      <c r="AL14" s="656"/>
      <c r="AM14" s="656"/>
      <c r="AN14" s="656"/>
      <c r="AO14" s="656"/>
      <c r="AP14" s="656"/>
      <c r="AQ14" s="656"/>
      <c r="AR14" s="656"/>
      <c r="AS14" s="656"/>
      <c r="AT14" s="656"/>
      <c r="AU14" s="656"/>
      <c r="AV14" s="656"/>
      <c r="AW14" s="656"/>
      <c r="AX14" s="656"/>
      <c r="AY14" s="656"/>
      <c r="AZ14" s="656"/>
      <c r="BA14" s="656"/>
      <c r="BB14" s="656"/>
      <c r="BC14" s="656"/>
      <c r="BD14" s="656"/>
      <c r="BE14" s="656"/>
      <c r="BF14" s="657"/>
      <c r="BG14" s="752" t="s">
        <v>204</v>
      </c>
      <c r="BH14" s="753"/>
      <c r="BI14" s="753"/>
      <c r="BJ14" s="754"/>
      <c r="BK14" s="725" t="s">
        <v>52</v>
      </c>
      <c r="BL14" s="726"/>
      <c r="BM14" s="643"/>
      <c r="BN14" s="643"/>
      <c r="BO14" s="643"/>
      <c r="BP14" s="643"/>
      <c r="BQ14" s="643"/>
      <c r="BR14" s="643"/>
      <c r="BS14" s="643"/>
      <c r="BT14" s="643"/>
      <c r="BU14" s="643"/>
      <c r="BV14" s="643"/>
      <c r="BW14" s="711" t="s">
        <v>354</v>
      </c>
      <c r="BX14" s="712"/>
      <c r="BY14" s="712"/>
      <c r="BZ14" s="712"/>
      <c r="CA14" s="713"/>
      <c r="CB14" s="118"/>
      <c r="CH14" s="128"/>
      <c r="CI14" s="745" t="s">
        <v>356</v>
      </c>
      <c r="CJ14" s="746"/>
      <c r="CK14" s="746"/>
      <c r="CL14" s="746"/>
      <c r="CM14" s="746"/>
      <c r="CN14" s="746"/>
      <c r="CO14" s="746"/>
      <c r="CP14" s="746"/>
      <c r="CQ14" s="746"/>
      <c r="CR14" s="746"/>
      <c r="CS14" s="746"/>
      <c r="CT14" s="746"/>
      <c r="CU14" s="747"/>
      <c r="CV14" s="751" t="s">
        <v>298</v>
      </c>
      <c r="CW14" s="751"/>
      <c r="CX14" s="751"/>
      <c r="CY14" s="751"/>
      <c r="CZ14" s="751"/>
      <c r="DA14" s="751"/>
      <c r="DB14" s="751"/>
      <c r="DC14" s="751"/>
      <c r="DD14" s="751"/>
      <c r="DE14" s="751"/>
      <c r="DF14" s="751"/>
      <c r="DG14" s="751"/>
      <c r="DH14" s="751"/>
      <c r="DI14" s="655" t="s">
        <v>163</v>
      </c>
      <c r="DJ14" s="656"/>
      <c r="DK14" s="656"/>
      <c r="DL14" s="656"/>
      <c r="DM14" s="656"/>
      <c r="DN14" s="656"/>
      <c r="DO14" s="656"/>
      <c r="DP14" s="656"/>
      <c r="DQ14" s="656"/>
      <c r="DR14" s="656"/>
      <c r="DS14" s="656"/>
      <c r="DT14" s="656"/>
      <c r="DU14" s="656"/>
      <c r="DV14" s="656"/>
      <c r="DW14" s="656"/>
      <c r="DX14" s="656"/>
      <c r="DY14" s="656"/>
      <c r="DZ14" s="656"/>
      <c r="EA14" s="656"/>
      <c r="EB14" s="656"/>
      <c r="EC14" s="656"/>
      <c r="ED14" s="656"/>
      <c r="EE14" s="656"/>
      <c r="EF14" s="656"/>
      <c r="EG14" s="656"/>
      <c r="EH14" s="656"/>
      <c r="EI14" s="657"/>
      <c r="EJ14" s="752" t="s">
        <v>204</v>
      </c>
      <c r="EK14" s="753"/>
      <c r="EL14" s="753"/>
      <c r="EM14" s="754"/>
      <c r="EN14" s="725" t="s">
        <v>52</v>
      </c>
      <c r="EO14" s="726"/>
      <c r="EP14" s="643"/>
      <c r="EQ14" s="643"/>
      <c r="ER14" s="643"/>
      <c r="ES14" s="643"/>
      <c r="ET14" s="643"/>
      <c r="EU14" s="643"/>
      <c r="EV14" s="643"/>
      <c r="EW14" s="643"/>
      <c r="EX14" s="643"/>
      <c r="EY14" s="643"/>
      <c r="EZ14" s="711" t="s">
        <v>354</v>
      </c>
      <c r="FA14" s="712"/>
      <c r="FB14" s="712"/>
      <c r="FC14" s="712"/>
      <c r="FD14" s="713"/>
      <c r="FE14" s="126"/>
      <c r="FF14" s="245"/>
      <c r="FG14" s="128"/>
    </row>
    <row r="15" spans="1:163" s="195" customFormat="1" ht="12" customHeight="1">
      <c r="A15" s="243"/>
      <c r="B15" s="244"/>
      <c r="F15" s="748"/>
      <c r="G15" s="749"/>
      <c r="H15" s="749"/>
      <c r="I15" s="749"/>
      <c r="J15" s="749"/>
      <c r="K15" s="749"/>
      <c r="L15" s="749"/>
      <c r="M15" s="749"/>
      <c r="N15" s="749"/>
      <c r="O15" s="749"/>
      <c r="P15" s="749"/>
      <c r="Q15" s="749"/>
      <c r="R15" s="750"/>
      <c r="S15" s="751"/>
      <c r="T15" s="751"/>
      <c r="U15" s="751"/>
      <c r="V15" s="751"/>
      <c r="W15" s="751"/>
      <c r="X15" s="751"/>
      <c r="Y15" s="751"/>
      <c r="Z15" s="751"/>
      <c r="AA15" s="751"/>
      <c r="AB15" s="751"/>
      <c r="AC15" s="751"/>
      <c r="AD15" s="751"/>
      <c r="AE15" s="751"/>
      <c r="AF15" s="649" t="s">
        <v>201</v>
      </c>
      <c r="AG15" s="650"/>
      <c r="AH15" s="650"/>
      <c r="AI15" s="650"/>
      <c r="AJ15" s="650"/>
      <c r="AK15" s="650"/>
      <c r="AL15" s="650"/>
      <c r="AM15" s="650"/>
      <c r="AN15" s="650"/>
      <c r="AO15" s="650"/>
      <c r="AP15" s="650"/>
      <c r="AQ15" s="650"/>
      <c r="AR15" s="650"/>
      <c r="AS15" s="650"/>
      <c r="AT15" s="650"/>
      <c r="AU15" s="650"/>
      <c r="AV15" s="650"/>
      <c r="AW15" s="650"/>
      <c r="AX15" s="650"/>
      <c r="AY15" s="650"/>
      <c r="AZ15" s="650"/>
      <c r="BA15" s="650"/>
      <c r="BB15" s="650"/>
      <c r="BC15" s="650"/>
      <c r="BD15" s="650"/>
      <c r="BE15" s="650"/>
      <c r="BF15" s="651"/>
      <c r="BG15" s="755"/>
      <c r="BH15" s="753"/>
      <c r="BI15" s="753"/>
      <c r="BJ15" s="754"/>
      <c r="BK15" s="721" t="s">
        <v>202</v>
      </c>
      <c r="BL15" s="722"/>
      <c r="BM15" s="722"/>
      <c r="BN15" s="722"/>
      <c r="BO15" s="722"/>
      <c r="BP15" s="722"/>
      <c r="BQ15" s="722"/>
      <c r="BR15" s="722"/>
      <c r="BS15" s="722"/>
      <c r="BT15" s="722"/>
      <c r="BU15" s="722"/>
      <c r="BV15" s="722"/>
      <c r="BW15" s="714"/>
      <c r="BX15" s="715"/>
      <c r="BY15" s="715"/>
      <c r="BZ15" s="715"/>
      <c r="CA15" s="716"/>
      <c r="CB15" s="118"/>
      <c r="CH15" s="246"/>
      <c r="CI15" s="748"/>
      <c r="CJ15" s="749"/>
      <c r="CK15" s="749"/>
      <c r="CL15" s="749"/>
      <c r="CM15" s="749"/>
      <c r="CN15" s="749"/>
      <c r="CO15" s="749"/>
      <c r="CP15" s="749"/>
      <c r="CQ15" s="749"/>
      <c r="CR15" s="749"/>
      <c r="CS15" s="749"/>
      <c r="CT15" s="749"/>
      <c r="CU15" s="750"/>
      <c r="CV15" s="751"/>
      <c r="CW15" s="751"/>
      <c r="CX15" s="751"/>
      <c r="CY15" s="751"/>
      <c r="CZ15" s="751"/>
      <c r="DA15" s="751"/>
      <c r="DB15" s="751"/>
      <c r="DC15" s="751"/>
      <c r="DD15" s="751"/>
      <c r="DE15" s="751"/>
      <c r="DF15" s="751"/>
      <c r="DG15" s="751"/>
      <c r="DH15" s="751"/>
      <c r="DI15" s="649" t="s">
        <v>201</v>
      </c>
      <c r="DJ15" s="650"/>
      <c r="DK15" s="650"/>
      <c r="DL15" s="650"/>
      <c r="DM15" s="650"/>
      <c r="DN15" s="650"/>
      <c r="DO15" s="650"/>
      <c r="DP15" s="650"/>
      <c r="DQ15" s="650"/>
      <c r="DR15" s="650"/>
      <c r="DS15" s="650"/>
      <c r="DT15" s="650"/>
      <c r="DU15" s="650"/>
      <c r="DV15" s="650"/>
      <c r="DW15" s="650"/>
      <c r="DX15" s="650"/>
      <c r="DY15" s="650"/>
      <c r="DZ15" s="650"/>
      <c r="EA15" s="650"/>
      <c r="EB15" s="650"/>
      <c r="EC15" s="650"/>
      <c r="ED15" s="650"/>
      <c r="EE15" s="650"/>
      <c r="EF15" s="650"/>
      <c r="EG15" s="650"/>
      <c r="EH15" s="650"/>
      <c r="EI15" s="651"/>
      <c r="EJ15" s="755"/>
      <c r="EK15" s="753"/>
      <c r="EL15" s="753"/>
      <c r="EM15" s="754"/>
      <c r="EN15" s="721" t="s">
        <v>202</v>
      </c>
      <c r="EO15" s="722"/>
      <c r="EP15" s="722"/>
      <c r="EQ15" s="722"/>
      <c r="ER15" s="722"/>
      <c r="ES15" s="722"/>
      <c r="ET15" s="722"/>
      <c r="EU15" s="722"/>
      <c r="EV15" s="722"/>
      <c r="EW15" s="722"/>
      <c r="EX15" s="722"/>
      <c r="EY15" s="722"/>
      <c r="EZ15" s="714"/>
      <c r="FA15" s="715"/>
      <c r="FB15" s="715"/>
      <c r="FC15" s="715"/>
      <c r="FD15" s="716"/>
      <c r="FF15" s="246"/>
      <c r="FG15" s="246"/>
    </row>
    <row r="16" spans="1:163" s="195" customFormat="1" ht="12" customHeight="1">
      <c r="A16" s="243"/>
      <c r="B16" s="244"/>
      <c r="F16" s="727" t="s">
        <v>377</v>
      </c>
      <c r="G16" s="728"/>
      <c r="H16" s="728"/>
      <c r="I16" s="728"/>
      <c r="J16" s="728"/>
      <c r="K16" s="728"/>
      <c r="L16" s="728"/>
      <c r="M16" s="728"/>
      <c r="N16" s="728"/>
      <c r="O16" s="730"/>
      <c r="P16" s="730"/>
      <c r="Q16" s="730"/>
      <c r="R16" s="731"/>
      <c r="S16" s="751"/>
      <c r="T16" s="751"/>
      <c r="U16" s="751"/>
      <c r="V16" s="751"/>
      <c r="W16" s="751"/>
      <c r="X16" s="751"/>
      <c r="Y16" s="751"/>
      <c r="Z16" s="751"/>
      <c r="AA16" s="751"/>
      <c r="AB16" s="751"/>
      <c r="AC16" s="751"/>
      <c r="AD16" s="751"/>
      <c r="AE16" s="751"/>
      <c r="AF16" s="652"/>
      <c r="AG16" s="653"/>
      <c r="AH16" s="653"/>
      <c r="AI16" s="653"/>
      <c r="AJ16" s="653"/>
      <c r="AK16" s="653"/>
      <c r="AL16" s="653"/>
      <c r="AM16" s="653"/>
      <c r="AN16" s="653"/>
      <c r="AO16" s="653"/>
      <c r="AP16" s="653"/>
      <c r="AQ16" s="653"/>
      <c r="AR16" s="653"/>
      <c r="AS16" s="653"/>
      <c r="AT16" s="653"/>
      <c r="AU16" s="653"/>
      <c r="AV16" s="653"/>
      <c r="AW16" s="653"/>
      <c r="AX16" s="653"/>
      <c r="AY16" s="653"/>
      <c r="AZ16" s="653"/>
      <c r="BA16" s="653"/>
      <c r="BB16" s="653"/>
      <c r="BC16" s="653"/>
      <c r="BD16" s="653"/>
      <c r="BE16" s="653"/>
      <c r="BF16" s="654"/>
      <c r="BG16" s="755"/>
      <c r="BH16" s="753"/>
      <c r="BI16" s="753"/>
      <c r="BJ16" s="754"/>
      <c r="BK16" s="723"/>
      <c r="BL16" s="724"/>
      <c r="BM16" s="724"/>
      <c r="BN16" s="724"/>
      <c r="BO16" s="724"/>
      <c r="BP16" s="724"/>
      <c r="BQ16" s="724"/>
      <c r="BR16" s="724"/>
      <c r="BS16" s="724"/>
      <c r="BT16" s="724"/>
      <c r="BU16" s="724"/>
      <c r="BV16" s="724"/>
      <c r="BW16" s="714"/>
      <c r="BX16" s="715"/>
      <c r="BY16" s="715"/>
      <c r="BZ16" s="715"/>
      <c r="CA16" s="716"/>
      <c r="CB16" s="118"/>
      <c r="CH16" s="246"/>
      <c r="CI16" s="727" t="s">
        <v>377</v>
      </c>
      <c r="CJ16" s="728"/>
      <c r="CK16" s="728"/>
      <c r="CL16" s="728"/>
      <c r="CM16" s="728"/>
      <c r="CN16" s="728"/>
      <c r="CO16" s="728"/>
      <c r="CP16" s="728"/>
      <c r="CQ16" s="728"/>
      <c r="CR16" s="730"/>
      <c r="CS16" s="730"/>
      <c r="CT16" s="730"/>
      <c r="CU16" s="731"/>
      <c r="CV16" s="751"/>
      <c r="CW16" s="751"/>
      <c r="CX16" s="751"/>
      <c r="CY16" s="751"/>
      <c r="CZ16" s="751"/>
      <c r="DA16" s="751"/>
      <c r="DB16" s="751"/>
      <c r="DC16" s="751"/>
      <c r="DD16" s="751"/>
      <c r="DE16" s="751"/>
      <c r="DF16" s="751"/>
      <c r="DG16" s="751"/>
      <c r="DH16" s="751"/>
      <c r="DI16" s="652"/>
      <c r="DJ16" s="653"/>
      <c r="DK16" s="653"/>
      <c r="DL16" s="653"/>
      <c r="DM16" s="653"/>
      <c r="DN16" s="653"/>
      <c r="DO16" s="653"/>
      <c r="DP16" s="653"/>
      <c r="DQ16" s="653"/>
      <c r="DR16" s="653"/>
      <c r="DS16" s="653"/>
      <c r="DT16" s="653"/>
      <c r="DU16" s="653"/>
      <c r="DV16" s="653"/>
      <c r="DW16" s="653"/>
      <c r="DX16" s="653"/>
      <c r="DY16" s="653"/>
      <c r="DZ16" s="653"/>
      <c r="EA16" s="653"/>
      <c r="EB16" s="653"/>
      <c r="EC16" s="653"/>
      <c r="ED16" s="653"/>
      <c r="EE16" s="653"/>
      <c r="EF16" s="653"/>
      <c r="EG16" s="653"/>
      <c r="EH16" s="653"/>
      <c r="EI16" s="654"/>
      <c r="EJ16" s="755"/>
      <c r="EK16" s="753"/>
      <c r="EL16" s="753"/>
      <c r="EM16" s="754"/>
      <c r="EN16" s="723"/>
      <c r="EO16" s="724"/>
      <c r="EP16" s="724"/>
      <c r="EQ16" s="724"/>
      <c r="ER16" s="724"/>
      <c r="ES16" s="724"/>
      <c r="ET16" s="724"/>
      <c r="EU16" s="724"/>
      <c r="EV16" s="724"/>
      <c r="EW16" s="724"/>
      <c r="EX16" s="724"/>
      <c r="EY16" s="724"/>
      <c r="EZ16" s="714"/>
      <c r="FA16" s="715"/>
      <c r="FB16" s="715"/>
      <c r="FC16" s="715"/>
      <c r="FD16" s="716"/>
      <c r="FF16" s="246"/>
      <c r="FG16" s="246"/>
    </row>
    <row r="17" spans="1:163" s="99" customFormat="1" ht="16.899999999999999" customHeight="1" thickBot="1">
      <c r="A17" s="77"/>
      <c r="B17" s="111"/>
      <c r="F17" s="727"/>
      <c r="G17" s="728"/>
      <c r="H17" s="728"/>
      <c r="I17" s="728"/>
      <c r="J17" s="728"/>
      <c r="K17" s="729"/>
      <c r="L17" s="729"/>
      <c r="M17" s="729"/>
      <c r="N17" s="729"/>
      <c r="O17" s="732" t="s">
        <v>274</v>
      </c>
      <c r="P17" s="733"/>
      <c r="Q17" s="733"/>
      <c r="R17" s="734"/>
      <c r="S17" s="751"/>
      <c r="T17" s="751"/>
      <c r="U17" s="751"/>
      <c r="V17" s="751"/>
      <c r="W17" s="751"/>
      <c r="X17" s="751"/>
      <c r="Y17" s="751"/>
      <c r="Z17" s="751"/>
      <c r="AA17" s="751"/>
      <c r="AB17" s="751"/>
      <c r="AC17" s="751"/>
      <c r="AD17" s="751"/>
      <c r="AE17" s="751"/>
      <c r="AF17" s="642" t="s">
        <v>142</v>
      </c>
      <c r="AG17" s="643"/>
      <c r="AH17" s="643"/>
      <c r="AI17" s="643"/>
      <c r="AJ17" s="643"/>
      <c r="AK17" s="643"/>
      <c r="AL17" s="642" t="s">
        <v>53</v>
      </c>
      <c r="AM17" s="643"/>
      <c r="AN17" s="643"/>
      <c r="AO17" s="643"/>
      <c r="AP17" s="643"/>
      <c r="AQ17" s="643"/>
      <c r="AR17" s="643"/>
      <c r="AS17" s="643"/>
      <c r="AT17" s="720"/>
      <c r="AU17" s="642" t="s">
        <v>54</v>
      </c>
      <c r="AV17" s="643"/>
      <c r="AW17" s="643"/>
      <c r="AX17" s="643"/>
      <c r="AY17" s="643"/>
      <c r="AZ17" s="643"/>
      <c r="BA17" s="642" t="s">
        <v>433</v>
      </c>
      <c r="BB17" s="643"/>
      <c r="BC17" s="643"/>
      <c r="BD17" s="643"/>
      <c r="BE17" s="643"/>
      <c r="BF17" s="643"/>
      <c r="BG17" s="756"/>
      <c r="BH17" s="757"/>
      <c r="BI17" s="757"/>
      <c r="BJ17" s="758"/>
      <c r="BK17" s="735" t="s">
        <v>143</v>
      </c>
      <c r="BL17" s="736"/>
      <c r="BM17" s="736"/>
      <c r="BN17" s="736"/>
      <c r="BO17" s="736"/>
      <c r="BP17" s="736"/>
      <c r="BQ17" s="736"/>
      <c r="BR17" s="737"/>
      <c r="BS17" s="640" t="s">
        <v>54</v>
      </c>
      <c r="BT17" s="641"/>
      <c r="BU17" s="641"/>
      <c r="BV17" s="641"/>
      <c r="BW17" s="717"/>
      <c r="BX17" s="718"/>
      <c r="BY17" s="718"/>
      <c r="BZ17" s="718"/>
      <c r="CA17" s="719"/>
      <c r="CB17" s="118"/>
      <c r="CH17" s="128"/>
      <c r="CI17" s="727"/>
      <c r="CJ17" s="728"/>
      <c r="CK17" s="728"/>
      <c r="CL17" s="728"/>
      <c r="CM17" s="728"/>
      <c r="CN17" s="729"/>
      <c r="CO17" s="729"/>
      <c r="CP17" s="729"/>
      <c r="CQ17" s="729"/>
      <c r="CR17" s="732" t="s">
        <v>274</v>
      </c>
      <c r="CS17" s="733"/>
      <c r="CT17" s="733"/>
      <c r="CU17" s="734"/>
      <c r="CV17" s="751"/>
      <c r="CW17" s="751"/>
      <c r="CX17" s="751"/>
      <c r="CY17" s="751"/>
      <c r="CZ17" s="751"/>
      <c r="DA17" s="751"/>
      <c r="DB17" s="751"/>
      <c r="DC17" s="751"/>
      <c r="DD17" s="751"/>
      <c r="DE17" s="751"/>
      <c r="DF17" s="751"/>
      <c r="DG17" s="751"/>
      <c r="DH17" s="751"/>
      <c r="DI17" s="642" t="s">
        <v>142</v>
      </c>
      <c r="DJ17" s="1089"/>
      <c r="DK17" s="1089"/>
      <c r="DL17" s="1089"/>
      <c r="DM17" s="1089"/>
      <c r="DN17" s="1089"/>
      <c r="DO17" s="642" t="s">
        <v>53</v>
      </c>
      <c r="DP17" s="1089"/>
      <c r="DQ17" s="1089"/>
      <c r="DR17" s="1089"/>
      <c r="DS17" s="1089"/>
      <c r="DT17" s="1089"/>
      <c r="DU17" s="1089"/>
      <c r="DV17" s="1089"/>
      <c r="DW17" s="720"/>
      <c r="DX17" s="642" t="s">
        <v>54</v>
      </c>
      <c r="DY17" s="1089"/>
      <c r="DZ17" s="1089"/>
      <c r="EA17" s="1089"/>
      <c r="EB17" s="1089"/>
      <c r="EC17" s="1089"/>
      <c r="ED17" s="642" t="s">
        <v>433</v>
      </c>
      <c r="EE17" s="1089"/>
      <c r="EF17" s="1089"/>
      <c r="EG17" s="1089"/>
      <c r="EH17" s="1089"/>
      <c r="EI17" s="1089"/>
      <c r="EJ17" s="1088"/>
      <c r="EK17" s="753"/>
      <c r="EL17" s="753"/>
      <c r="EM17" s="754"/>
      <c r="EN17" s="642" t="s">
        <v>143</v>
      </c>
      <c r="EO17" s="1089"/>
      <c r="EP17" s="1089"/>
      <c r="EQ17" s="1089"/>
      <c r="ER17" s="1089"/>
      <c r="ES17" s="1089"/>
      <c r="ET17" s="1089"/>
      <c r="EU17" s="720"/>
      <c r="EV17" s="1090" t="s">
        <v>54</v>
      </c>
      <c r="EW17" s="1091"/>
      <c r="EX17" s="1091"/>
      <c r="EY17" s="1091"/>
      <c r="EZ17" s="1087"/>
      <c r="FA17" s="715"/>
      <c r="FB17" s="715"/>
      <c r="FC17" s="715"/>
      <c r="FD17" s="716"/>
      <c r="FE17" s="126"/>
      <c r="FF17" s="245"/>
      <c r="FG17" s="128"/>
    </row>
    <row r="18" spans="1:163" ht="16.149999999999999" customHeight="1">
      <c r="A18" s="77"/>
      <c r="B18" s="242"/>
      <c r="F18" s="786" t="s">
        <v>259</v>
      </c>
      <c r="G18" s="787"/>
      <c r="H18" s="787"/>
      <c r="I18" s="787"/>
      <c r="J18" s="788"/>
      <c r="K18" s="789" t="s">
        <v>357</v>
      </c>
      <c r="L18" s="789"/>
      <c r="M18" s="789"/>
      <c r="N18" s="789"/>
      <c r="O18" s="790"/>
      <c r="P18" s="791"/>
      <c r="Q18" s="791"/>
      <c r="R18" s="792"/>
      <c r="S18" s="626" t="s">
        <v>260</v>
      </c>
      <c r="T18" s="627"/>
      <c r="U18" s="627"/>
      <c r="V18" s="627"/>
      <c r="W18" s="627"/>
      <c r="X18" s="627"/>
      <c r="Y18" s="627"/>
      <c r="Z18" s="627"/>
      <c r="AA18" s="627"/>
      <c r="AB18" s="627"/>
      <c r="AC18" s="627"/>
      <c r="AD18" s="627"/>
      <c r="AE18" s="628"/>
      <c r="AF18" s="626" t="s">
        <v>144</v>
      </c>
      <c r="AG18" s="627"/>
      <c r="AH18" s="628"/>
      <c r="AI18" s="658" t="s">
        <v>55</v>
      </c>
      <c r="AJ18" s="658"/>
      <c r="AK18" s="658"/>
      <c r="AL18" s="664" t="s">
        <v>261</v>
      </c>
      <c r="AM18" s="665"/>
      <c r="AN18" s="665"/>
      <c r="AO18" s="665" t="s">
        <v>144</v>
      </c>
      <c r="AP18" s="665"/>
      <c r="AQ18" s="666"/>
      <c r="AR18" s="658" t="s">
        <v>55</v>
      </c>
      <c r="AS18" s="658"/>
      <c r="AT18" s="658"/>
      <c r="AU18" s="626" t="s">
        <v>144</v>
      </c>
      <c r="AV18" s="627"/>
      <c r="AW18" s="628"/>
      <c r="AX18" s="658" t="s">
        <v>55</v>
      </c>
      <c r="AY18" s="658"/>
      <c r="AZ18" s="645"/>
      <c r="BA18" s="595" t="s">
        <v>144</v>
      </c>
      <c r="BB18" s="596"/>
      <c r="BC18" s="596"/>
      <c r="BD18" s="644" t="s">
        <v>55</v>
      </c>
      <c r="BE18" s="645"/>
      <c r="BF18" s="646"/>
      <c r="BG18" s="659" t="s">
        <v>162</v>
      </c>
      <c r="BH18" s="660"/>
      <c r="BI18" s="660"/>
      <c r="BJ18" s="660"/>
      <c r="BK18" s="626" t="s">
        <v>261</v>
      </c>
      <c r="BL18" s="627"/>
      <c r="BM18" s="627"/>
      <c r="BN18" s="627"/>
      <c r="BO18" s="743" t="s">
        <v>144</v>
      </c>
      <c r="BP18" s="627"/>
      <c r="BQ18" s="627"/>
      <c r="BR18" s="744"/>
      <c r="BS18" s="667" t="s">
        <v>144</v>
      </c>
      <c r="BT18" s="627"/>
      <c r="BU18" s="627"/>
      <c r="BV18" s="628"/>
      <c r="BW18" s="661" t="s">
        <v>144</v>
      </c>
      <c r="BX18" s="661"/>
      <c r="BY18" s="661"/>
      <c r="BZ18" s="661"/>
      <c r="CA18" s="662"/>
      <c r="CB18" s="118"/>
      <c r="CH18" s="128"/>
      <c r="CI18" s="1092" t="s">
        <v>259</v>
      </c>
      <c r="CJ18" s="1093"/>
      <c r="CK18" s="1093"/>
      <c r="CL18" s="1093"/>
      <c r="CM18" s="989"/>
      <c r="CN18" s="789" t="s">
        <v>357</v>
      </c>
      <c r="CO18" s="789"/>
      <c r="CP18" s="789"/>
      <c r="CQ18" s="789"/>
      <c r="CR18" s="1099"/>
      <c r="CS18" s="1100"/>
      <c r="CT18" s="1100"/>
      <c r="CU18" s="1101"/>
      <c r="CV18" s="595" t="s">
        <v>260</v>
      </c>
      <c r="CW18" s="1094"/>
      <c r="CX18" s="1094"/>
      <c r="CY18" s="1094"/>
      <c r="CZ18" s="1094"/>
      <c r="DA18" s="1094"/>
      <c r="DB18" s="1094"/>
      <c r="DC18" s="1094"/>
      <c r="DD18" s="1094"/>
      <c r="DE18" s="1094"/>
      <c r="DF18" s="1094"/>
      <c r="DG18" s="1094"/>
      <c r="DH18" s="1094"/>
      <c r="DI18" s="595" t="s">
        <v>144</v>
      </c>
      <c r="DJ18" s="1094"/>
      <c r="DK18" s="597"/>
      <c r="DL18" s="644" t="s">
        <v>55</v>
      </c>
      <c r="DM18" s="1095"/>
      <c r="DN18" s="646"/>
      <c r="DO18" s="1096" t="s">
        <v>261</v>
      </c>
      <c r="DP18" s="1097"/>
      <c r="DQ18" s="1097"/>
      <c r="DR18" s="1097" t="s">
        <v>144</v>
      </c>
      <c r="DS18" s="1097"/>
      <c r="DT18" s="1098"/>
      <c r="DU18" s="644" t="s">
        <v>55</v>
      </c>
      <c r="DV18" s="1095"/>
      <c r="DW18" s="646"/>
      <c r="DX18" s="595" t="s">
        <v>144</v>
      </c>
      <c r="DY18" s="1094"/>
      <c r="DZ18" s="597"/>
      <c r="EA18" s="1095" t="s">
        <v>55</v>
      </c>
      <c r="EB18" s="1095"/>
      <c r="EC18" s="1095"/>
      <c r="ED18" s="595" t="s">
        <v>144</v>
      </c>
      <c r="EE18" s="1094"/>
      <c r="EF18" s="1094"/>
      <c r="EG18" s="644" t="s">
        <v>55</v>
      </c>
      <c r="EH18" s="1095"/>
      <c r="EI18" s="646"/>
      <c r="EJ18" s="1102" t="s">
        <v>162</v>
      </c>
      <c r="EK18" s="1103"/>
      <c r="EL18" s="1103"/>
      <c r="EM18" s="602"/>
      <c r="EN18" s="1094" t="s">
        <v>261</v>
      </c>
      <c r="EO18" s="1094"/>
      <c r="EP18" s="1094"/>
      <c r="EQ18" s="1094"/>
      <c r="ER18" s="1098" t="s">
        <v>144</v>
      </c>
      <c r="ES18" s="1094"/>
      <c r="ET18" s="1094"/>
      <c r="EU18" s="597"/>
      <c r="EV18" s="595" t="s">
        <v>144</v>
      </c>
      <c r="EW18" s="1094"/>
      <c r="EX18" s="1094"/>
      <c r="EY18" s="1094"/>
      <c r="EZ18" s="595" t="s">
        <v>144</v>
      </c>
      <c r="FA18" s="1094"/>
      <c r="FB18" s="1094"/>
      <c r="FC18" s="1094"/>
      <c r="FD18" s="597"/>
      <c r="FF18" s="128"/>
      <c r="FG18" s="128"/>
    </row>
    <row r="19" spans="1:163" ht="16.149999999999999" customHeight="1">
      <c r="A19" s="77"/>
      <c r="B19" s="111"/>
      <c r="F19" s="766" t="str">
        <f>IF('07nen'!$Q$16="","",IF('07nen'!$K$33&gt;10000000,"",IF('07nen'!$Q$16="源泉",IF('07nen'!$O$8="年調対象外","○",""),IF('07nen'!$Q$16="対象","○",""))))</f>
        <v/>
      </c>
      <c r="G19" s="767"/>
      <c r="H19" s="767"/>
      <c r="I19" s="767"/>
      <c r="J19" s="768"/>
      <c r="K19" s="772" t="str">
        <f>IF('07nen'!$I$51="－","",'07nen'!$I$51)</f>
        <v/>
      </c>
      <c r="L19" s="773"/>
      <c r="M19" s="773"/>
      <c r="N19" s="774"/>
      <c r="O19" s="674" t="str">
        <f>IF('07nen'!$K$16="老","○","")</f>
        <v/>
      </c>
      <c r="P19" s="581"/>
      <c r="Q19" s="581"/>
      <c r="R19" s="775"/>
      <c r="S19" s="777" t="str">
        <f>IF('07nen'!$O$8="甲欄",IF('07nen'!$J$16="","",IF('07nen'!$X$42=0,"",'07nen'!$X$42)),"")</f>
        <v/>
      </c>
      <c r="T19" s="778"/>
      <c r="U19" s="778"/>
      <c r="V19" s="778"/>
      <c r="W19" s="778"/>
      <c r="X19" s="778"/>
      <c r="Y19" s="778"/>
      <c r="Z19" s="778"/>
      <c r="AA19" s="778"/>
      <c r="AB19" s="778"/>
      <c r="AC19" s="778"/>
      <c r="AD19" s="778"/>
      <c r="AE19" s="779"/>
      <c r="AF19" s="674" t="str">
        <f>IF('07nen'!$AC$19=0,"",'07nen'!$AC$19)</f>
        <v/>
      </c>
      <c r="AG19" s="581"/>
      <c r="AH19" s="775"/>
      <c r="AI19" s="610" t="str">
        <f>IF('07nen'!$I$52="－","",'07nen'!$I$52)</f>
        <v/>
      </c>
      <c r="AJ19" s="610"/>
      <c r="AK19" s="610"/>
      <c r="AL19" s="780" t="str">
        <f>IF('07nen'!$AC$18=0,"",'07nen'!$AC$18)</f>
        <v/>
      </c>
      <c r="AM19" s="604"/>
      <c r="AN19" s="604"/>
      <c r="AO19" s="604" t="str">
        <f>IF('07nen'!$AC$18+'07nen'!$AC$20=0,"",'07nen'!$AC$18+'07nen'!$AC$20)</f>
        <v/>
      </c>
      <c r="AP19" s="604"/>
      <c r="AQ19" s="783"/>
      <c r="AR19" s="610" t="str">
        <f>IF('07nen'!$I$53="－","",'07nen'!$I$53)</f>
        <v/>
      </c>
      <c r="AS19" s="610"/>
      <c r="AT19" s="610"/>
      <c r="AU19" s="674" t="str">
        <f>+IF('07nen'!$AC$9-SUM('07nen'!$AC$18:$AC$20)&lt;=0,"",'07nen'!$AC$9-SUM('07nen'!$AC$18:$AC$20))</f>
        <v/>
      </c>
      <c r="AV19" s="581"/>
      <c r="AW19" s="775"/>
      <c r="AX19" s="610" t="str">
        <f>IF('07nen'!$I$54="－","",'07nen'!$I$54)</f>
        <v/>
      </c>
      <c r="AY19" s="610"/>
      <c r="AZ19" s="610"/>
      <c r="BA19" s="647" t="str">
        <f>IF('07nen'!$AG$70=0,"",'07nen'!$AG$70)</f>
        <v/>
      </c>
      <c r="BB19" s="581"/>
      <c r="BC19" s="581"/>
      <c r="BD19" s="648" t="str">
        <f>IF('07nen'!$I$55="－","",'07nen'!$I$55)</f>
        <v/>
      </c>
      <c r="BE19" s="610"/>
      <c r="BF19" s="611"/>
      <c r="BG19" s="672" t="str">
        <f>IF('07nen'!$AC$21=0,"",'07nen'!$AC$21)</f>
        <v/>
      </c>
      <c r="BH19" s="616"/>
      <c r="BI19" s="616"/>
      <c r="BJ19" s="616"/>
      <c r="BK19" s="674" t="str">
        <f>IF('07nen'!$AC$11=0,"",'07nen'!$AC$11)</f>
        <v/>
      </c>
      <c r="BL19" s="581"/>
      <c r="BM19" s="581"/>
      <c r="BN19" s="581"/>
      <c r="BO19" s="607" t="str">
        <f>IF('07nen'!$AC$11+'07nen'!$AC$12-'07nen'!$AC$29=0,"",'07nen'!$AC$11+'07nen'!$AC$12-'07nen'!$AC$29)</f>
        <v/>
      </c>
      <c r="BP19" s="581"/>
      <c r="BQ19" s="581"/>
      <c r="BR19" s="621"/>
      <c r="BS19" s="647" t="str">
        <f>IF('07nen'!$AC$13-'07nen'!$AC$28=0,"",'07nen'!$AC$13-'07nen'!$AC$28)</f>
        <v/>
      </c>
      <c r="BT19" s="581"/>
      <c r="BU19" s="581"/>
      <c r="BV19" s="775"/>
      <c r="BW19" s="581" t="str">
        <f>IF('07nen'!$AC$22=0,"",'07nen'!$AC$22)</f>
        <v/>
      </c>
      <c r="BX19" s="581"/>
      <c r="BY19" s="581"/>
      <c r="BZ19" s="581"/>
      <c r="CA19" s="621"/>
      <c r="CB19" s="118"/>
      <c r="CH19" s="128"/>
      <c r="CI19" s="1104" t="str">
        <f>IF('07nen'!$Q$16="","",IF('07nen'!$K$33&gt;10000000,"",IF('07nen'!$Q$16="源泉",IF('07nen'!$O$8="年調対象外","○",""),IF('07nen'!$Q$16="対象","○",""))))</f>
        <v/>
      </c>
      <c r="CJ19" s="1104"/>
      <c r="CK19" s="1104"/>
      <c r="CL19" s="1104"/>
      <c r="CM19" s="1104"/>
      <c r="CN19" s="772" t="str">
        <f>IF('07nen'!$I$51="－","",'07nen'!$I$51)</f>
        <v/>
      </c>
      <c r="CO19" s="773"/>
      <c r="CP19" s="773"/>
      <c r="CQ19" s="774"/>
      <c r="CR19" s="580" t="str">
        <f>IF('07nen'!$K$16="老","○","")</f>
        <v/>
      </c>
      <c r="CS19" s="581"/>
      <c r="CT19" s="581"/>
      <c r="CU19" s="621"/>
      <c r="CV19" s="1105" t="str">
        <f>IF('07nen'!$O$8="甲欄",IF('07nen'!$J$16="","",IF('07nen'!$X$42=0,"",'07nen'!$X$42)),"")</f>
        <v/>
      </c>
      <c r="CW19" s="778"/>
      <c r="CX19" s="778"/>
      <c r="CY19" s="778"/>
      <c r="CZ19" s="778"/>
      <c r="DA19" s="778"/>
      <c r="DB19" s="778"/>
      <c r="DC19" s="778"/>
      <c r="DD19" s="778"/>
      <c r="DE19" s="778"/>
      <c r="DF19" s="778"/>
      <c r="DG19" s="778"/>
      <c r="DH19" s="778"/>
      <c r="DI19" s="580" t="str">
        <f>IF('07nen'!$AC$19=0,"",'07nen'!$AC$19)</f>
        <v/>
      </c>
      <c r="DJ19" s="581"/>
      <c r="DK19" s="621"/>
      <c r="DL19" s="609" t="str">
        <f>IF('07nen'!$I$52="－","",'07nen'!$I$52)</f>
        <v/>
      </c>
      <c r="DM19" s="610"/>
      <c r="DN19" s="611"/>
      <c r="DO19" s="603" t="str">
        <f>IF('07nen'!$AC$18=0,"",'07nen'!$AC$18)</f>
        <v/>
      </c>
      <c r="DP19" s="604"/>
      <c r="DQ19" s="604"/>
      <c r="DR19" s="604" t="str">
        <f>IF('07nen'!$AC$18+'07nen'!$AC$20=0,"",'07nen'!$AC$18+'07nen'!$AC$20)</f>
        <v/>
      </c>
      <c r="DS19" s="604"/>
      <c r="DT19" s="607"/>
      <c r="DU19" s="609" t="str">
        <f>IF('07nen'!$I$53="－","",'07nen'!$I$53)</f>
        <v/>
      </c>
      <c r="DV19" s="610"/>
      <c r="DW19" s="611"/>
      <c r="DX19" s="580" t="str">
        <f>+IF('07nen'!$AC$9-SUM('07nen'!$AC$18:$AC$20)&lt;=0,"",'07nen'!$AC$9-SUM('07nen'!$AC$18:$AC$20))</f>
        <v/>
      </c>
      <c r="DY19" s="581"/>
      <c r="DZ19" s="621"/>
      <c r="EA19" s="610" t="str">
        <f>IF('07nen'!$I$54="－","",'07nen'!$I$54)</f>
        <v/>
      </c>
      <c r="EB19" s="610"/>
      <c r="EC19" s="610"/>
      <c r="ED19" s="580" t="str">
        <f>IF('07nen'!$AG$70=0,"",'07nen'!$AG$70)</f>
        <v/>
      </c>
      <c r="EE19" s="581"/>
      <c r="EF19" s="581"/>
      <c r="EG19" s="609" t="str">
        <f>IF('07nen'!$I$55="－","",'07nen'!$I$55)</f>
        <v/>
      </c>
      <c r="EH19" s="610"/>
      <c r="EI19" s="611"/>
      <c r="EJ19" s="615" t="str">
        <f>IF('07nen'!$AC$21=0,"",'07nen'!$AC$21)</f>
        <v/>
      </c>
      <c r="EK19" s="616"/>
      <c r="EL19" s="616"/>
      <c r="EM19" s="617"/>
      <c r="EN19" s="581" t="str">
        <f>IF('07nen'!$AC$11=0,"",'07nen'!$AC$11)</f>
        <v/>
      </c>
      <c r="EO19" s="581"/>
      <c r="EP19" s="581"/>
      <c r="EQ19" s="581"/>
      <c r="ER19" s="607" t="str">
        <f>IF('07nen'!$AC$11+'07nen'!$AC$12-'07nen'!$AC$29=0,"",'07nen'!$AC$11+'07nen'!$AC$12-'07nen'!$AC$29)</f>
        <v/>
      </c>
      <c r="ES19" s="581"/>
      <c r="ET19" s="581"/>
      <c r="EU19" s="621"/>
      <c r="EV19" s="580" t="str">
        <f>IF('07nen'!$AC$13-'07nen'!$AC$28=0,"",'07nen'!$AC$13-'07nen'!$AC$28)</f>
        <v/>
      </c>
      <c r="EW19" s="581"/>
      <c r="EX19" s="581"/>
      <c r="EY19" s="581"/>
      <c r="EZ19" s="580" t="str">
        <f>IF('07nen'!$AC$22=0,"",'07nen'!$AC$22)</f>
        <v/>
      </c>
      <c r="FA19" s="581"/>
      <c r="FB19" s="581"/>
      <c r="FC19" s="581"/>
      <c r="FD19" s="621"/>
      <c r="FE19" s="126"/>
      <c r="FF19" s="128"/>
      <c r="FG19" s="128"/>
    </row>
    <row r="20" spans="1:163" ht="16.899999999999999" customHeight="1" thickBot="1">
      <c r="A20" s="77"/>
      <c r="B20" s="111"/>
      <c r="F20" s="769"/>
      <c r="G20" s="770"/>
      <c r="H20" s="770"/>
      <c r="I20" s="770"/>
      <c r="J20" s="771"/>
      <c r="K20" s="772"/>
      <c r="L20" s="773"/>
      <c r="M20" s="773"/>
      <c r="N20" s="774"/>
      <c r="O20" s="675"/>
      <c r="P20" s="676"/>
      <c r="Q20" s="676"/>
      <c r="R20" s="776"/>
      <c r="S20" s="623"/>
      <c r="T20" s="624"/>
      <c r="U20" s="624"/>
      <c r="V20" s="624"/>
      <c r="W20" s="624"/>
      <c r="X20" s="624"/>
      <c r="Y20" s="624"/>
      <c r="Z20" s="624"/>
      <c r="AA20" s="624"/>
      <c r="AB20" s="624"/>
      <c r="AC20" s="624"/>
      <c r="AD20" s="624"/>
      <c r="AE20" s="625"/>
      <c r="AF20" s="675"/>
      <c r="AG20" s="676"/>
      <c r="AH20" s="776"/>
      <c r="AI20" s="613"/>
      <c r="AJ20" s="613"/>
      <c r="AK20" s="613"/>
      <c r="AL20" s="781"/>
      <c r="AM20" s="782"/>
      <c r="AN20" s="782"/>
      <c r="AO20" s="782"/>
      <c r="AP20" s="782"/>
      <c r="AQ20" s="784"/>
      <c r="AR20" s="613"/>
      <c r="AS20" s="613"/>
      <c r="AT20" s="613"/>
      <c r="AU20" s="675"/>
      <c r="AV20" s="676"/>
      <c r="AW20" s="776"/>
      <c r="AX20" s="613"/>
      <c r="AY20" s="613"/>
      <c r="AZ20" s="613"/>
      <c r="BA20" s="582"/>
      <c r="BB20" s="583"/>
      <c r="BC20" s="583"/>
      <c r="BD20" s="612"/>
      <c r="BE20" s="613"/>
      <c r="BF20" s="614"/>
      <c r="BG20" s="673"/>
      <c r="BH20" s="619"/>
      <c r="BI20" s="619"/>
      <c r="BJ20" s="619"/>
      <c r="BK20" s="675"/>
      <c r="BL20" s="676"/>
      <c r="BM20" s="676"/>
      <c r="BN20" s="676"/>
      <c r="BO20" s="741"/>
      <c r="BP20" s="676"/>
      <c r="BQ20" s="676"/>
      <c r="BR20" s="742"/>
      <c r="BS20" s="785"/>
      <c r="BT20" s="676"/>
      <c r="BU20" s="676"/>
      <c r="BV20" s="776"/>
      <c r="BW20" s="583"/>
      <c r="BX20" s="583"/>
      <c r="BY20" s="583"/>
      <c r="BZ20" s="583"/>
      <c r="CA20" s="622"/>
      <c r="CB20" s="118"/>
      <c r="CH20" s="128"/>
      <c r="CI20" s="1104"/>
      <c r="CJ20" s="1104"/>
      <c r="CK20" s="1104"/>
      <c r="CL20" s="1104"/>
      <c r="CM20" s="1104"/>
      <c r="CN20" s="772"/>
      <c r="CO20" s="773"/>
      <c r="CP20" s="773"/>
      <c r="CQ20" s="774"/>
      <c r="CR20" s="582"/>
      <c r="CS20" s="583"/>
      <c r="CT20" s="583"/>
      <c r="CU20" s="622"/>
      <c r="CV20" s="1106"/>
      <c r="CW20" s="632"/>
      <c r="CX20" s="632"/>
      <c r="CY20" s="632"/>
      <c r="CZ20" s="632"/>
      <c r="DA20" s="632"/>
      <c r="DB20" s="632"/>
      <c r="DC20" s="632"/>
      <c r="DD20" s="632"/>
      <c r="DE20" s="632"/>
      <c r="DF20" s="632"/>
      <c r="DG20" s="632"/>
      <c r="DH20" s="632"/>
      <c r="DI20" s="582"/>
      <c r="DJ20" s="583"/>
      <c r="DK20" s="622"/>
      <c r="DL20" s="612"/>
      <c r="DM20" s="613"/>
      <c r="DN20" s="614"/>
      <c r="DO20" s="605"/>
      <c r="DP20" s="606"/>
      <c r="DQ20" s="606"/>
      <c r="DR20" s="606"/>
      <c r="DS20" s="606"/>
      <c r="DT20" s="608"/>
      <c r="DU20" s="612"/>
      <c r="DV20" s="613"/>
      <c r="DW20" s="614"/>
      <c r="DX20" s="582"/>
      <c r="DY20" s="583"/>
      <c r="DZ20" s="622"/>
      <c r="EA20" s="613"/>
      <c r="EB20" s="613"/>
      <c r="EC20" s="613"/>
      <c r="ED20" s="582"/>
      <c r="EE20" s="583"/>
      <c r="EF20" s="583"/>
      <c r="EG20" s="612"/>
      <c r="EH20" s="613"/>
      <c r="EI20" s="614"/>
      <c r="EJ20" s="618"/>
      <c r="EK20" s="619"/>
      <c r="EL20" s="619"/>
      <c r="EM20" s="620"/>
      <c r="EN20" s="583"/>
      <c r="EO20" s="583"/>
      <c r="EP20" s="583"/>
      <c r="EQ20" s="583"/>
      <c r="ER20" s="608"/>
      <c r="ES20" s="583"/>
      <c r="ET20" s="583"/>
      <c r="EU20" s="622"/>
      <c r="EV20" s="582"/>
      <c r="EW20" s="583"/>
      <c r="EX20" s="583"/>
      <c r="EY20" s="583"/>
      <c r="EZ20" s="582"/>
      <c r="FA20" s="583"/>
      <c r="FB20" s="583"/>
      <c r="FC20" s="583"/>
      <c r="FD20" s="622"/>
      <c r="FE20" s="126"/>
      <c r="FF20" s="128"/>
      <c r="FG20" s="128"/>
    </row>
    <row r="21" spans="1:163" s="99" customFormat="1" ht="16.899999999999999" customHeight="1" thickBot="1">
      <c r="A21" s="77"/>
      <c r="B21" s="111"/>
      <c r="F21" s="793" t="s">
        <v>434</v>
      </c>
      <c r="G21" s="794"/>
      <c r="H21" s="794"/>
      <c r="I21" s="794"/>
      <c r="J21" s="794"/>
      <c r="K21" s="794"/>
      <c r="L21" s="794"/>
      <c r="M21" s="794"/>
      <c r="N21" s="794"/>
      <c r="O21" s="794"/>
      <c r="P21" s="794"/>
      <c r="Q21" s="794"/>
      <c r="R21" s="794"/>
      <c r="S21" s="794"/>
      <c r="T21" s="795"/>
      <c r="U21" s="634" t="s">
        <v>208</v>
      </c>
      <c r="V21" s="635"/>
      <c r="W21" s="635"/>
      <c r="X21" s="635"/>
      <c r="Y21" s="635"/>
      <c r="Z21" s="635"/>
      <c r="AA21" s="635"/>
      <c r="AB21" s="635"/>
      <c r="AC21" s="635"/>
      <c r="AD21" s="635"/>
      <c r="AE21" s="635"/>
      <c r="AF21" s="635"/>
      <c r="AG21" s="635"/>
      <c r="AH21" s="635"/>
      <c r="AI21" s="635"/>
      <c r="AJ21" s="634" t="s">
        <v>207</v>
      </c>
      <c r="AK21" s="635"/>
      <c r="AL21" s="635"/>
      <c r="AM21" s="635"/>
      <c r="AN21" s="635"/>
      <c r="AO21" s="635"/>
      <c r="AP21" s="635"/>
      <c r="AQ21" s="635"/>
      <c r="AR21" s="635"/>
      <c r="AS21" s="635"/>
      <c r="AT21" s="635"/>
      <c r="AU21" s="635"/>
      <c r="AV21" s="635"/>
      <c r="AW21" s="635"/>
      <c r="AX21" s="636"/>
      <c r="AY21" s="629" t="s">
        <v>206</v>
      </c>
      <c r="AZ21" s="629"/>
      <c r="BA21" s="629"/>
      <c r="BB21" s="629"/>
      <c r="BC21" s="629"/>
      <c r="BD21" s="629"/>
      <c r="BE21" s="629"/>
      <c r="BF21" s="629"/>
      <c r="BG21" s="629"/>
      <c r="BH21" s="629"/>
      <c r="BI21" s="629"/>
      <c r="BJ21" s="629"/>
      <c r="BK21" s="629"/>
      <c r="BL21" s="629"/>
      <c r="BM21" s="630"/>
      <c r="BN21" s="631" t="s">
        <v>205</v>
      </c>
      <c r="BO21" s="593"/>
      <c r="BP21" s="593"/>
      <c r="BQ21" s="593"/>
      <c r="BR21" s="593"/>
      <c r="BS21" s="593"/>
      <c r="BT21" s="593"/>
      <c r="BU21" s="593"/>
      <c r="BV21" s="593"/>
      <c r="BW21" s="593"/>
      <c r="BX21" s="593"/>
      <c r="BY21" s="593"/>
      <c r="BZ21" s="593"/>
      <c r="CA21" s="594"/>
      <c r="CB21" s="118"/>
      <c r="CG21" s="128"/>
      <c r="CH21" s="128"/>
      <c r="CI21" s="584" t="s">
        <v>434</v>
      </c>
      <c r="CJ21" s="585"/>
      <c r="CK21" s="585"/>
      <c r="CL21" s="585"/>
      <c r="CM21" s="585"/>
      <c r="CN21" s="585"/>
      <c r="CO21" s="585"/>
      <c r="CP21" s="585"/>
      <c r="CQ21" s="585"/>
      <c r="CR21" s="585"/>
      <c r="CS21" s="585"/>
      <c r="CT21" s="585"/>
      <c r="CU21" s="585"/>
      <c r="CV21" s="585"/>
      <c r="CW21" s="586"/>
      <c r="CX21" s="587" t="s">
        <v>208</v>
      </c>
      <c r="CY21" s="588"/>
      <c r="CZ21" s="588"/>
      <c r="DA21" s="588"/>
      <c r="DB21" s="588"/>
      <c r="DC21" s="588"/>
      <c r="DD21" s="588"/>
      <c r="DE21" s="588"/>
      <c r="DF21" s="588"/>
      <c r="DG21" s="588"/>
      <c r="DH21" s="588"/>
      <c r="DI21" s="588"/>
      <c r="DJ21" s="588"/>
      <c r="DK21" s="588"/>
      <c r="DL21" s="589"/>
      <c r="DM21" s="587" t="s">
        <v>207</v>
      </c>
      <c r="DN21" s="588"/>
      <c r="DO21" s="588"/>
      <c r="DP21" s="588"/>
      <c r="DQ21" s="588"/>
      <c r="DR21" s="588"/>
      <c r="DS21" s="588"/>
      <c r="DT21" s="588"/>
      <c r="DU21" s="588"/>
      <c r="DV21" s="588"/>
      <c r="DW21" s="588"/>
      <c r="DX21" s="588"/>
      <c r="DY21" s="588"/>
      <c r="DZ21" s="588"/>
      <c r="EA21" s="589"/>
      <c r="EB21" s="590" t="s">
        <v>206</v>
      </c>
      <c r="EC21" s="591"/>
      <c r="ED21" s="591"/>
      <c r="EE21" s="591"/>
      <c r="EF21" s="591"/>
      <c r="EG21" s="591"/>
      <c r="EH21" s="591"/>
      <c r="EI21" s="591"/>
      <c r="EJ21" s="591"/>
      <c r="EK21" s="591"/>
      <c r="EL21" s="591"/>
      <c r="EM21" s="591"/>
      <c r="EN21" s="591"/>
      <c r="EO21" s="591"/>
      <c r="EP21" s="592"/>
      <c r="EQ21" s="593" t="s">
        <v>205</v>
      </c>
      <c r="ER21" s="593"/>
      <c r="ES21" s="593"/>
      <c r="ET21" s="593"/>
      <c r="EU21" s="593"/>
      <c r="EV21" s="593"/>
      <c r="EW21" s="593"/>
      <c r="EX21" s="593"/>
      <c r="EY21" s="593"/>
      <c r="EZ21" s="593"/>
      <c r="FA21" s="593"/>
      <c r="FB21" s="593"/>
      <c r="FC21" s="593"/>
      <c r="FD21" s="594"/>
      <c r="FE21" s="126"/>
      <c r="FF21" s="128"/>
      <c r="FG21" s="128"/>
    </row>
    <row r="22" spans="1:163" ht="18.75">
      <c r="A22" s="77"/>
      <c r="B22" s="111"/>
      <c r="F22" s="626" t="s">
        <v>260</v>
      </c>
      <c r="G22" s="627"/>
      <c r="H22" s="627"/>
      <c r="I22" s="627"/>
      <c r="J22" s="627"/>
      <c r="K22" s="627"/>
      <c r="L22" s="627"/>
      <c r="M22" s="627"/>
      <c r="N22" s="627"/>
      <c r="O22" s="627"/>
      <c r="P22" s="627"/>
      <c r="Q22" s="627"/>
      <c r="R22" s="627"/>
      <c r="S22" s="627"/>
      <c r="T22" s="628"/>
      <c r="U22" s="798" t="s">
        <v>261</v>
      </c>
      <c r="V22" s="799"/>
      <c r="W22" s="320"/>
      <c r="X22" s="808" t="str">
        <f>IF('07nen'!$X$39=0,"",'07nen'!$X$39)</f>
        <v/>
      </c>
      <c r="Y22" s="808"/>
      <c r="Z22" s="808"/>
      <c r="AA22" s="808"/>
      <c r="AB22" s="808"/>
      <c r="AC22" s="808"/>
      <c r="AD22" s="808"/>
      <c r="AE22" s="808"/>
      <c r="AF22" s="808"/>
      <c r="AG22" s="808"/>
      <c r="AH22" s="796" t="s">
        <v>50</v>
      </c>
      <c r="AI22" s="797"/>
      <c r="AJ22" s="626" t="s">
        <v>260</v>
      </c>
      <c r="AK22" s="627"/>
      <c r="AL22" s="627"/>
      <c r="AM22" s="627"/>
      <c r="AN22" s="627"/>
      <c r="AO22" s="627"/>
      <c r="AP22" s="627"/>
      <c r="AQ22" s="627"/>
      <c r="AR22" s="627"/>
      <c r="AS22" s="627"/>
      <c r="AT22" s="627"/>
      <c r="AU22" s="627"/>
      <c r="AV22" s="627"/>
      <c r="AW22" s="627"/>
      <c r="AX22" s="628"/>
      <c r="AY22" s="626" t="s">
        <v>260</v>
      </c>
      <c r="AZ22" s="627"/>
      <c r="BA22" s="627"/>
      <c r="BB22" s="627"/>
      <c r="BC22" s="627"/>
      <c r="BD22" s="627"/>
      <c r="BE22" s="627"/>
      <c r="BF22" s="627"/>
      <c r="BG22" s="627"/>
      <c r="BH22" s="627"/>
      <c r="BI22" s="627"/>
      <c r="BJ22" s="627"/>
      <c r="BK22" s="627"/>
      <c r="BL22" s="627"/>
      <c r="BM22" s="628"/>
      <c r="BN22" s="601" t="s">
        <v>50</v>
      </c>
      <c r="BO22" s="601"/>
      <c r="BP22" s="601"/>
      <c r="BQ22" s="601"/>
      <c r="BR22" s="601"/>
      <c r="BS22" s="601"/>
      <c r="BT22" s="601"/>
      <c r="BU22" s="601"/>
      <c r="BV22" s="601"/>
      <c r="BW22" s="601"/>
      <c r="BX22" s="601"/>
      <c r="BY22" s="601"/>
      <c r="BZ22" s="601"/>
      <c r="CA22" s="602"/>
      <c r="CB22" s="118"/>
      <c r="CG22" s="128"/>
      <c r="CH22" s="128"/>
      <c r="CI22" s="595" t="s">
        <v>260</v>
      </c>
      <c r="CJ22" s="596"/>
      <c r="CK22" s="596"/>
      <c r="CL22" s="596"/>
      <c r="CM22" s="596"/>
      <c r="CN22" s="596"/>
      <c r="CO22" s="596"/>
      <c r="CP22" s="596"/>
      <c r="CQ22" s="596"/>
      <c r="CR22" s="596"/>
      <c r="CS22" s="596"/>
      <c r="CT22" s="596"/>
      <c r="CU22" s="596"/>
      <c r="CV22" s="596"/>
      <c r="CW22" s="597"/>
      <c r="CX22" s="598" t="s">
        <v>261</v>
      </c>
      <c r="CY22" s="599"/>
      <c r="CZ22" s="390"/>
      <c r="DA22" s="600" t="str">
        <f>IF('07nen'!$X$39=0,"",'07nen'!$X$39)</f>
        <v/>
      </c>
      <c r="DB22" s="600"/>
      <c r="DC22" s="600"/>
      <c r="DD22" s="600"/>
      <c r="DE22" s="600"/>
      <c r="DF22" s="600"/>
      <c r="DG22" s="600"/>
      <c r="DH22" s="600"/>
      <c r="DI22" s="600"/>
      <c r="DJ22" s="600"/>
      <c r="DK22" s="601" t="s">
        <v>50</v>
      </c>
      <c r="DL22" s="602"/>
      <c r="DM22" s="595" t="s">
        <v>260</v>
      </c>
      <c r="DN22" s="596"/>
      <c r="DO22" s="596"/>
      <c r="DP22" s="596"/>
      <c r="DQ22" s="596"/>
      <c r="DR22" s="596"/>
      <c r="DS22" s="596"/>
      <c r="DT22" s="596"/>
      <c r="DU22" s="596"/>
      <c r="DV22" s="596"/>
      <c r="DW22" s="596"/>
      <c r="DX22" s="596"/>
      <c r="DY22" s="596"/>
      <c r="DZ22" s="596"/>
      <c r="EA22" s="597"/>
      <c r="EB22" s="595" t="s">
        <v>260</v>
      </c>
      <c r="EC22" s="596"/>
      <c r="ED22" s="596"/>
      <c r="EE22" s="596"/>
      <c r="EF22" s="596"/>
      <c r="EG22" s="596"/>
      <c r="EH22" s="596"/>
      <c r="EI22" s="596"/>
      <c r="EJ22" s="596"/>
      <c r="EK22" s="596"/>
      <c r="EL22" s="596"/>
      <c r="EM22" s="596"/>
      <c r="EN22" s="596"/>
      <c r="EO22" s="596"/>
      <c r="EP22" s="597"/>
      <c r="EQ22" s="601" t="s">
        <v>50</v>
      </c>
      <c r="ER22" s="601"/>
      <c r="ES22" s="601"/>
      <c r="ET22" s="601"/>
      <c r="EU22" s="601"/>
      <c r="EV22" s="601"/>
      <c r="EW22" s="601"/>
      <c r="EX22" s="601"/>
      <c r="EY22" s="601"/>
      <c r="EZ22" s="601"/>
      <c r="FA22" s="601"/>
      <c r="FB22" s="601"/>
      <c r="FC22" s="601"/>
      <c r="FD22" s="602"/>
      <c r="FE22" s="126"/>
      <c r="FF22" s="128"/>
      <c r="FG22" s="128"/>
    </row>
    <row r="23" spans="1:163" ht="26.25" thickBot="1">
      <c r="A23" s="416"/>
      <c r="B23" s="111"/>
      <c r="F23" s="623" t="str">
        <f>IF('07nen'!$O$8="甲欄",IF(OR('07nen'!$X$43="",'07nen'!$X$43=0),"",'07nen'!$X$43),"")</f>
        <v/>
      </c>
      <c r="G23" s="624"/>
      <c r="H23" s="624"/>
      <c r="I23" s="624"/>
      <c r="J23" s="624"/>
      <c r="K23" s="624"/>
      <c r="L23" s="624"/>
      <c r="M23" s="624"/>
      <c r="N23" s="624"/>
      <c r="O23" s="624"/>
      <c r="P23" s="624"/>
      <c r="Q23" s="624"/>
      <c r="R23" s="624"/>
      <c r="S23" s="624"/>
      <c r="T23" s="625"/>
      <c r="U23" s="623" t="str">
        <f>IF(SUM(OR('07nen'!$X$37:$X$39)="",'07nen'!$X$37:$X$39)=0,"",SUM('07nen'!$X$37:$X$39))</f>
        <v/>
      </c>
      <c r="V23" s="624"/>
      <c r="W23" s="624"/>
      <c r="X23" s="624"/>
      <c r="Y23" s="624"/>
      <c r="Z23" s="624"/>
      <c r="AA23" s="624"/>
      <c r="AB23" s="624"/>
      <c r="AC23" s="624"/>
      <c r="AD23" s="624"/>
      <c r="AE23" s="624"/>
      <c r="AF23" s="624"/>
      <c r="AG23" s="624"/>
      <c r="AH23" s="624"/>
      <c r="AI23" s="625"/>
      <c r="AJ23" s="623" t="str">
        <f>IF('07nen'!$O$8="甲欄",IF(OR('07nen'!$X$40="",'07nen'!$X$40=0),"",'07nen'!$X$40),"")</f>
        <v/>
      </c>
      <c r="AK23" s="624"/>
      <c r="AL23" s="624"/>
      <c r="AM23" s="624"/>
      <c r="AN23" s="624"/>
      <c r="AO23" s="624"/>
      <c r="AP23" s="624"/>
      <c r="AQ23" s="624"/>
      <c r="AR23" s="624"/>
      <c r="AS23" s="624"/>
      <c r="AT23" s="624"/>
      <c r="AU23" s="624"/>
      <c r="AV23" s="624"/>
      <c r="AW23" s="624"/>
      <c r="AX23" s="625"/>
      <c r="AY23" s="623" t="str">
        <f>IF('07nen'!$O$8="甲欄",IF(OR('07nen'!$X$41="",'07nen'!$X$41=0),"",'07nen'!$X$41),"")</f>
        <v/>
      </c>
      <c r="AZ23" s="624"/>
      <c r="BA23" s="624"/>
      <c r="BB23" s="624"/>
      <c r="BC23" s="624"/>
      <c r="BD23" s="624"/>
      <c r="BE23" s="624"/>
      <c r="BF23" s="624"/>
      <c r="BG23" s="624"/>
      <c r="BH23" s="624"/>
      <c r="BI23" s="624"/>
      <c r="BJ23" s="624"/>
      <c r="BK23" s="624"/>
      <c r="BL23" s="624"/>
      <c r="BM23" s="625"/>
      <c r="BN23" s="632" t="str">
        <f>IF('07nen'!$O$8="甲欄",IF(OR('07nen'!$Y$49="",'07nen'!$Y$49=0),"",MIN('07nen'!$Y$48:$Y$49)),"")</f>
        <v/>
      </c>
      <c r="BO23" s="632"/>
      <c r="BP23" s="632"/>
      <c r="BQ23" s="632"/>
      <c r="BR23" s="632"/>
      <c r="BS23" s="632"/>
      <c r="BT23" s="632"/>
      <c r="BU23" s="632"/>
      <c r="BV23" s="632"/>
      <c r="BW23" s="632"/>
      <c r="BX23" s="632"/>
      <c r="BY23" s="632"/>
      <c r="BZ23" s="632"/>
      <c r="CA23" s="633"/>
      <c r="CB23" s="118"/>
      <c r="CG23" s="128"/>
      <c r="CH23" s="128"/>
      <c r="CI23" s="1106" t="str">
        <f>IF('07nen'!$O$8="甲欄",IF(OR('07nen'!$X$43="",'07nen'!$X$43=0),"",'07nen'!$X$43),"")</f>
        <v/>
      </c>
      <c r="CJ23" s="632"/>
      <c r="CK23" s="632"/>
      <c r="CL23" s="632"/>
      <c r="CM23" s="632"/>
      <c r="CN23" s="632"/>
      <c r="CO23" s="632"/>
      <c r="CP23" s="632"/>
      <c r="CQ23" s="632"/>
      <c r="CR23" s="632"/>
      <c r="CS23" s="632"/>
      <c r="CT23" s="632"/>
      <c r="CU23" s="632"/>
      <c r="CV23" s="632"/>
      <c r="CW23" s="633"/>
      <c r="CX23" s="1106" t="str">
        <f>IF(SUM(OR('07nen'!$X$37:$X$39)="",'07nen'!$X$37:$X$39)=0,"",SUM('07nen'!$X$37:$X$39))</f>
        <v/>
      </c>
      <c r="CY23" s="632"/>
      <c r="CZ23" s="632"/>
      <c r="DA23" s="632"/>
      <c r="DB23" s="632"/>
      <c r="DC23" s="632"/>
      <c r="DD23" s="632"/>
      <c r="DE23" s="632"/>
      <c r="DF23" s="632"/>
      <c r="DG23" s="632"/>
      <c r="DH23" s="632"/>
      <c r="DI23" s="632"/>
      <c r="DJ23" s="632"/>
      <c r="DK23" s="632"/>
      <c r="DL23" s="633"/>
      <c r="DM23" s="1106" t="str">
        <f>IF('07nen'!$O$8="甲欄",IF(OR('07nen'!$X$40="",'07nen'!$X$40=0),"",'07nen'!$X$40),"")</f>
        <v/>
      </c>
      <c r="DN23" s="632"/>
      <c r="DO23" s="632"/>
      <c r="DP23" s="632"/>
      <c r="DQ23" s="632"/>
      <c r="DR23" s="632"/>
      <c r="DS23" s="632"/>
      <c r="DT23" s="632"/>
      <c r="DU23" s="632"/>
      <c r="DV23" s="632"/>
      <c r="DW23" s="632"/>
      <c r="DX23" s="632"/>
      <c r="DY23" s="632"/>
      <c r="DZ23" s="632"/>
      <c r="EA23" s="633"/>
      <c r="EB23" s="1106" t="str">
        <f>IF('07nen'!$O$8="甲欄",IF(OR('07nen'!$X$41="",'07nen'!$X$41=0),"",'07nen'!$X$41),"")</f>
        <v/>
      </c>
      <c r="EC23" s="632"/>
      <c r="ED23" s="632"/>
      <c r="EE23" s="632"/>
      <c r="EF23" s="632"/>
      <c r="EG23" s="632"/>
      <c r="EH23" s="632"/>
      <c r="EI23" s="632"/>
      <c r="EJ23" s="632"/>
      <c r="EK23" s="632"/>
      <c r="EL23" s="632"/>
      <c r="EM23" s="632"/>
      <c r="EN23" s="632"/>
      <c r="EO23" s="632"/>
      <c r="EP23" s="633"/>
      <c r="EQ23" s="632" t="str">
        <f>IF('07nen'!$O$8="甲欄",IF(OR('07nen'!$Y$49="",'07nen'!$Y$49=0),"",MIN('07nen'!$Y$48:$Y$49)),"")</f>
        <v/>
      </c>
      <c r="ER23" s="632"/>
      <c r="ES23" s="632"/>
      <c r="ET23" s="632"/>
      <c r="EU23" s="632"/>
      <c r="EV23" s="632"/>
      <c r="EW23" s="632"/>
      <c r="EX23" s="632"/>
      <c r="EY23" s="632"/>
      <c r="EZ23" s="632"/>
      <c r="FA23" s="632"/>
      <c r="FB23" s="632"/>
      <c r="FC23" s="632"/>
      <c r="FD23" s="633"/>
      <c r="FE23" s="126"/>
      <c r="FF23" s="128"/>
      <c r="FG23" s="128"/>
    </row>
    <row r="24" spans="1:163" ht="24" customHeight="1">
      <c r="A24" s="74"/>
      <c r="B24" s="100"/>
      <c r="C24" s="100"/>
      <c r="D24" s="100"/>
      <c r="E24" s="100"/>
      <c r="F24" s="379" t="s">
        <v>56</v>
      </c>
      <c r="G24" s="380"/>
      <c r="H24" s="372"/>
      <c r="I24" s="372"/>
      <c r="J24" s="372"/>
      <c r="K24" s="372"/>
      <c r="M24" s="381"/>
      <c r="N24" s="381"/>
      <c r="O24" s="814" t="str">
        <f>CONCATENATE(IF('07nen'!$AB$41="","",'07nen'!$AB$41&amp;"　"),IF('07nen'!$AB$42="","",'07nen'!$AB$42&amp;"　"),IF('07nen'!$AB$43="","",'07nen'!$AB$43&amp;"　"),IF('07nen'!$AB$44="","",'07nen'!$AB$44&amp;"　"),IF('07nen'!$AB$45="","",'07nen'!$AB$45&amp;"　"),IF('07nen'!$AB$46="","",'07nen'!$AB$46&amp;"　"))&amp;IF('07nen'!$O$8="丙欄","丙欄適用","")&amp;IF(SUM('07nen'!$AD$28:$AD$30)&gt;0,IF('07nen'!$E$16="","",'07nen'!$AG$140&amp;'07nen'!$D$16&amp;'07nen'!$E$16&amp;"(同配)"),"")&amp;IF(SUM('07nen'!$AD$28:$AD$30)&gt;0,IF('07nen'!$E$74="","",'07nen'!$AG$140&amp;'07nen'!$D$74&amp;'07nen'!$E$74&amp;"(同配)"),"")&amp;"   "&amp;IF('07nen'!$Q$75="対象",'07nen'!$D$75&amp;'07nen'!$E$75&amp;"(調整)","")&amp;"   "&amp;IF('07nen'!$Q$76="対象",'07nen'!$D$76&amp;'07nen'!$E$76&amp;"(調整)","")&amp;"   "&amp;IF('07nen'!$C$40="","",'07nen'!$C$40)&amp;"      "&amp;IF('07nen'!$C$43="","",'07nen'!$C$43)</f>
        <v xml:space="preserve">               </v>
      </c>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814"/>
      <c r="BA24" s="814"/>
      <c r="BB24" s="814"/>
      <c r="BC24" s="814"/>
      <c r="BD24" s="814"/>
      <c r="BE24" s="814"/>
      <c r="BF24" s="814"/>
      <c r="BG24" s="814"/>
      <c r="BH24" s="814"/>
      <c r="BI24" s="814"/>
      <c r="BJ24" s="814"/>
      <c r="BK24" s="814"/>
      <c r="BL24" s="814"/>
      <c r="BM24" s="814"/>
      <c r="BN24" s="814"/>
      <c r="BO24" s="814"/>
      <c r="BP24" s="814"/>
      <c r="BQ24" s="814"/>
      <c r="BR24" s="814"/>
      <c r="BS24" s="814"/>
      <c r="BT24" s="814"/>
      <c r="BU24" s="814"/>
      <c r="BV24" s="814"/>
      <c r="BW24" s="814"/>
      <c r="BX24" s="814"/>
      <c r="BY24" s="814"/>
      <c r="BZ24" s="814"/>
      <c r="CA24" s="815"/>
      <c r="CB24" s="118"/>
      <c r="CG24" s="121"/>
      <c r="CH24" s="121"/>
      <c r="CI24" s="379" t="s">
        <v>56</v>
      </c>
      <c r="CJ24" s="380"/>
      <c r="CK24" s="372"/>
      <c r="CL24" s="372"/>
      <c r="CM24" s="372"/>
      <c r="CN24" s="372"/>
      <c r="CP24" s="381"/>
      <c r="CQ24" s="381"/>
      <c r="CR24" s="814" t="str">
        <f>CONCATENATE(IF('07nen'!$AB$41="","",'07nen'!$AB$41&amp;"　"),IF('07nen'!$AB$42="","",'07nen'!$AB$42&amp;"　"),IF('07nen'!$AB$43="","",'07nen'!$AB$43&amp;"　"),IF('07nen'!$AB$44="","",'07nen'!$AB$44&amp;"　"),IF('07nen'!$AB$45="","",'07nen'!$AB$45&amp;"　"),IF('07nen'!$AB$46="","",'07nen'!$AB$46&amp;"　"))&amp;IF('07nen'!$O$8="丙欄","丙欄適用","")&amp;IF(SUM('07nen'!$AD$28:$AD$30)&gt;0,IF('07nen'!$E$16="","",'07nen'!$AG$140&amp;'07nen'!$D$16&amp;'07nen'!$E$16&amp;"(同配)"),"")&amp;IF(SUM('07nen'!$AD$28:$AD$30)&gt;0,IF('07nen'!$E$74="","",'07nen'!$AG$140&amp;'07nen'!$D$74&amp;'07nen'!$E$74&amp;"(同配)"),"")&amp;"   "&amp;IF('07nen'!$Q$75="対象",'07nen'!$D$75&amp;'07nen'!$E$75&amp;"(調整)","")&amp;"   "&amp;IF('07nen'!$Q$76="対象",'07nen'!$D$76&amp;'07nen'!$E$76&amp;"(調整)","")&amp;"   "&amp;IF('07nen'!$C$40="","",'07nen'!$C$40)&amp;"      "&amp;IF('07nen'!$C$43="","",'07nen'!$C$43)</f>
        <v xml:space="preserve">               </v>
      </c>
      <c r="CS24" s="814"/>
      <c r="CT24" s="814"/>
      <c r="CU24" s="814"/>
      <c r="CV24" s="814"/>
      <c r="CW24" s="814"/>
      <c r="CX24" s="814"/>
      <c r="CY24" s="814"/>
      <c r="CZ24" s="814"/>
      <c r="DA24" s="814"/>
      <c r="DB24" s="814"/>
      <c r="DC24" s="814"/>
      <c r="DD24" s="814"/>
      <c r="DE24" s="814"/>
      <c r="DF24" s="814"/>
      <c r="DG24" s="814"/>
      <c r="DH24" s="814"/>
      <c r="DI24" s="814"/>
      <c r="DJ24" s="814"/>
      <c r="DK24" s="814"/>
      <c r="DL24" s="814"/>
      <c r="DM24" s="814"/>
      <c r="DN24" s="814"/>
      <c r="DO24" s="814"/>
      <c r="DP24" s="814"/>
      <c r="DQ24" s="814"/>
      <c r="DR24" s="814"/>
      <c r="DS24" s="814"/>
      <c r="DT24" s="814"/>
      <c r="DU24" s="814"/>
      <c r="DV24" s="814"/>
      <c r="DW24" s="814"/>
      <c r="DX24" s="814"/>
      <c r="DY24" s="814"/>
      <c r="DZ24" s="814"/>
      <c r="EA24" s="814"/>
      <c r="EB24" s="814"/>
      <c r="EC24" s="814"/>
      <c r="ED24" s="814"/>
      <c r="EE24" s="814"/>
      <c r="EF24" s="814"/>
      <c r="EG24" s="814"/>
      <c r="EH24" s="814"/>
      <c r="EI24" s="814"/>
      <c r="EJ24" s="814"/>
      <c r="EK24" s="814"/>
      <c r="EL24" s="814"/>
      <c r="EM24" s="814"/>
      <c r="EN24" s="814"/>
      <c r="EO24" s="814"/>
      <c r="EP24" s="814"/>
      <c r="EQ24" s="814"/>
      <c r="ER24" s="814"/>
      <c r="ES24" s="814"/>
      <c r="ET24" s="814"/>
      <c r="EU24" s="814"/>
      <c r="EV24" s="814"/>
      <c r="EW24" s="814"/>
      <c r="EX24" s="814"/>
      <c r="EY24" s="814"/>
      <c r="EZ24" s="814"/>
      <c r="FA24" s="814"/>
      <c r="FB24" s="814"/>
      <c r="FC24" s="814"/>
      <c r="FD24" s="815"/>
      <c r="FE24" s="126"/>
      <c r="FF24" s="121"/>
      <c r="FG24" s="121"/>
    </row>
    <row r="25" spans="1:163" ht="24" customHeight="1">
      <c r="A25" s="74"/>
      <c r="B25" s="100"/>
      <c r="C25" s="100"/>
      <c r="D25" s="100"/>
      <c r="E25" s="100"/>
      <c r="F25" s="122"/>
      <c r="H25" s="809" t="str">
        <f>IF('07nen'!$O$8="甲欄","","年調未済")</f>
        <v/>
      </c>
      <c r="I25" s="809"/>
      <c r="J25" s="809"/>
      <c r="K25" s="809"/>
      <c r="L25" s="809"/>
      <c r="M25" s="809"/>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814"/>
      <c r="BF25" s="814"/>
      <c r="BG25" s="814"/>
      <c r="BH25" s="814"/>
      <c r="BI25" s="814"/>
      <c r="BJ25" s="814"/>
      <c r="BK25" s="814"/>
      <c r="BL25" s="814"/>
      <c r="BM25" s="814"/>
      <c r="BN25" s="814"/>
      <c r="BO25" s="814"/>
      <c r="BP25" s="814"/>
      <c r="BQ25" s="814"/>
      <c r="BR25" s="814"/>
      <c r="BS25" s="814"/>
      <c r="BT25" s="814"/>
      <c r="BU25" s="814"/>
      <c r="BV25" s="814"/>
      <c r="BW25" s="814"/>
      <c r="BX25" s="814"/>
      <c r="BY25" s="814"/>
      <c r="BZ25" s="814"/>
      <c r="CA25" s="815"/>
      <c r="CB25" s="118"/>
      <c r="CG25" s="121"/>
      <c r="CH25" s="121"/>
      <c r="CI25" s="122"/>
      <c r="CK25" s="809" t="str">
        <f>IF('07nen'!$O$8="甲欄","","年調未済")</f>
        <v/>
      </c>
      <c r="CL25" s="809"/>
      <c r="CM25" s="809"/>
      <c r="CN25" s="809"/>
      <c r="CO25" s="809"/>
      <c r="CP25" s="809"/>
      <c r="CR25" s="814"/>
      <c r="CS25" s="814"/>
      <c r="CT25" s="814"/>
      <c r="CU25" s="814"/>
      <c r="CV25" s="814"/>
      <c r="CW25" s="814"/>
      <c r="CX25" s="814"/>
      <c r="CY25" s="814"/>
      <c r="CZ25" s="814"/>
      <c r="DA25" s="814"/>
      <c r="DB25" s="814"/>
      <c r="DC25" s="814"/>
      <c r="DD25" s="814"/>
      <c r="DE25" s="814"/>
      <c r="DF25" s="814"/>
      <c r="DG25" s="814"/>
      <c r="DH25" s="814"/>
      <c r="DI25" s="814"/>
      <c r="DJ25" s="814"/>
      <c r="DK25" s="814"/>
      <c r="DL25" s="814"/>
      <c r="DM25" s="814"/>
      <c r="DN25" s="814"/>
      <c r="DO25" s="814"/>
      <c r="DP25" s="814"/>
      <c r="DQ25" s="814"/>
      <c r="DR25" s="814"/>
      <c r="DS25" s="814"/>
      <c r="DT25" s="814"/>
      <c r="DU25" s="814"/>
      <c r="DV25" s="814"/>
      <c r="DW25" s="814"/>
      <c r="DX25" s="814"/>
      <c r="DY25" s="814"/>
      <c r="DZ25" s="814"/>
      <c r="EA25" s="814"/>
      <c r="EB25" s="814"/>
      <c r="EC25" s="814"/>
      <c r="ED25" s="814"/>
      <c r="EE25" s="814"/>
      <c r="EF25" s="814"/>
      <c r="EG25" s="814"/>
      <c r="EH25" s="814"/>
      <c r="EI25" s="814"/>
      <c r="EJ25" s="814"/>
      <c r="EK25" s="814"/>
      <c r="EL25" s="814"/>
      <c r="EM25" s="814"/>
      <c r="EN25" s="814"/>
      <c r="EO25" s="814"/>
      <c r="EP25" s="814"/>
      <c r="EQ25" s="814"/>
      <c r="ER25" s="814"/>
      <c r="ES25" s="814"/>
      <c r="ET25" s="814"/>
      <c r="EU25" s="814"/>
      <c r="EV25" s="814"/>
      <c r="EW25" s="814"/>
      <c r="EX25" s="814"/>
      <c r="EY25" s="814"/>
      <c r="EZ25" s="814"/>
      <c r="FA25" s="814"/>
      <c r="FB25" s="814"/>
      <c r="FC25" s="814"/>
      <c r="FD25" s="815"/>
      <c r="FE25" s="126"/>
      <c r="FF25" s="121"/>
      <c r="FG25" s="121"/>
    </row>
    <row r="26" spans="1:163" ht="24.75" thickBot="1">
      <c r="A26" s="74"/>
      <c r="B26" s="100"/>
      <c r="C26" s="100"/>
      <c r="D26" s="100"/>
      <c r="E26" s="100"/>
      <c r="F26" s="122"/>
      <c r="H26" s="809" t="str">
        <f>IF('07nen'!$D$46="－","",'07nen'!$D$46)</f>
        <v/>
      </c>
      <c r="I26" s="809"/>
      <c r="J26" s="809"/>
      <c r="K26" s="809"/>
      <c r="L26" s="809"/>
      <c r="M26" s="809"/>
      <c r="N26" s="381"/>
      <c r="O26" s="814"/>
      <c r="P26" s="814"/>
      <c r="Q26" s="814"/>
      <c r="R26" s="814"/>
      <c r="S26" s="814"/>
      <c r="T26" s="814"/>
      <c r="U26" s="814"/>
      <c r="V26" s="814"/>
      <c r="W26" s="814"/>
      <c r="X26" s="814"/>
      <c r="Y26" s="814"/>
      <c r="Z26" s="814"/>
      <c r="AA26" s="814"/>
      <c r="AB26" s="814"/>
      <c r="AC26" s="814"/>
      <c r="AD26" s="814"/>
      <c r="AE26" s="814"/>
      <c r="AF26" s="814"/>
      <c r="AG26" s="814"/>
      <c r="AH26" s="814"/>
      <c r="AI26" s="814"/>
      <c r="AJ26" s="814"/>
      <c r="AK26" s="814"/>
      <c r="AL26" s="814"/>
      <c r="AM26" s="814"/>
      <c r="AN26" s="814"/>
      <c r="AO26" s="814"/>
      <c r="AP26" s="814"/>
      <c r="AQ26" s="814"/>
      <c r="AR26" s="814"/>
      <c r="AS26" s="814"/>
      <c r="AT26" s="814"/>
      <c r="AU26" s="814"/>
      <c r="AV26" s="814"/>
      <c r="AW26" s="814"/>
      <c r="AX26" s="814"/>
      <c r="AY26" s="814"/>
      <c r="AZ26" s="814"/>
      <c r="BA26" s="814"/>
      <c r="BB26" s="814"/>
      <c r="BC26" s="814"/>
      <c r="BD26" s="814"/>
      <c r="BE26" s="814"/>
      <c r="BF26" s="814"/>
      <c r="BG26" s="814"/>
      <c r="BH26" s="814"/>
      <c r="BI26" s="814"/>
      <c r="BJ26" s="814"/>
      <c r="BK26" s="814"/>
      <c r="BL26" s="814"/>
      <c r="BM26" s="814"/>
      <c r="BN26" s="814"/>
      <c r="BO26" s="814"/>
      <c r="BP26" s="814"/>
      <c r="BQ26" s="814"/>
      <c r="BR26" s="814"/>
      <c r="BS26" s="814"/>
      <c r="BT26" s="814"/>
      <c r="BU26" s="814"/>
      <c r="BV26" s="814"/>
      <c r="BW26" s="814"/>
      <c r="BX26" s="814"/>
      <c r="BY26" s="814"/>
      <c r="BZ26" s="814"/>
      <c r="CA26" s="815"/>
      <c r="CB26" s="118"/>
      <c r="CG26" s="121"/>
      <c r="CH26" s="121"/>
      <c r="CI26" s="122"/>
      <c r="CK26" s="809" t="str">
        <f>IF('07nen'!$D$46="－","",'07nen'!$D$46)</f>
        <v/>
      </c>
      <c r="CL26" s="809"/>
      <c r="CM26" s="809"/>
      <c r="CN26" s="809"/>
      <c r="CO26" s="809"/>
      <c r="CP26" s="809"/>
      <c r="CQ26" s="381"/>
      <c r="CR26" s="814"/>
      <c r="CS26" s="814"/>
      <c r="CT26" s="814"/>
      <c r="CU26" s="814"/>
      <c r="CV26" s="814"/>
      <c r="CW26" s="814"/>
      <c r="CX26" s="814"/>
      <c r="CY26" s="814"/>
      <c r="CZ26" s="814"/>
      <c r="DA26" s="814"/>
      <c r="DB26" s="814"/>
      <c r="DC26" s="814"/>
      <c r="DD26" s="814"/>
      <c r="DE26" s="814"/>
      <c r="DF26" s="814"/>
      <c r="DG26" s="814"/>
      <c r="DH26" s="814"/>
      <c r="DI26" s="814"/>
      <c r="DJ26" s="814"/>
      <c r="DK26" s="814"/>
      <c r="DL26" s="814"/>
      <c r="DM26" s="814"/>
      <c r="DN26" s="814"/>
      <c r="DO26" s="814"/>
      <c r="DP26" s="814"/>
      <c r="DQ26" s="814"/>
      <c r="DR26" s="814"/>
      <c r="DS26" s="814"/>
      <c r="DT26" s="814"/>
      <c r="DU26" s="814"/>
      <c r="DV26" s="814"/>
      <c r="DW26" s="814"/>
      <c r="DX26" s="814"/>
      <c r="DY26" s="814"/>
      <c r="DZ26" s="814"/>
      <c r="EA26" s="814"/>
      <c r="EB26" s="814"/>
      <c r="EC26" s="814"/>
      <c r="ED26" s="814"/>
      <c r="EE26" s="814"/>
      <c r="EF26" s="814"/>
      <c r="EG26" s="814"/>
      <c r="EH26" s="814"/>
      <c r="EI26" s="814"/>
      <c r="EJ26" s="814"/>
      <c r="EK26" s="814"/>
      <c r="EL26" s="814"/>
      <c r="EM26" s="814"/>
      <c r="EN26" s="814"/>
      <c r="EO26" s="814"/>
      <c r="EP26" s="814"/>
      <c r="EQ26" s="814"/>
      <c r="ER26" s="814"/>
      <c r="ES26" s="814"/>
      <c r="ET26" s="814"/>
      <c r="EU26" s="814"/>
      <c r="EV26" s="814"/>
      <c r="EW26" s="814"/>
      <c r="EX26" s="814"/>
      <c r="EY26" s="814"/>
      <c r="EZ26" s="814"/>
      <c r="FA26" s="814"/>
      <c r="FB26" s="814"/>
      <c r="FC26" s="814"/>
      <c r="FD26" s="815"/>
      <c r="FE26" s="126"/>
      <c r="FF26" s="121"/>
      <c r="FG26" s="121"/>
    </row>
    <row r="27" spans="1:163" ht="16.899999999999999" customHeight="1" thickTop="1">
      <c r="A27" s="77"/>
      <c r="B27" s="100"/>
      <c r="C27" s="100"/>
      <c r="D27" s="100"/>
      <c r="E27" s="100"/>
      <c r="F27" s="800" t="s">
        <v>214</v>
      </c>
      <c r="G27" s="801"/>
      <c r="H27" s="801"/>
      <c r="I27" s="801"/>
      <c r="J27" s="804" t="s">
        <v>249</v>
      </c>
      <c r="K27" s="805"/>
      <c r="L27" s="805"/>
      <c r="M27" s="805"/>
      <c r="N27" s="805"/>
      <c r="O27" s="805"/>
      <c r="P27" s="382"/>
      <c r="Q27" s="320"/>
      <c r="R27" s="320"/>
      <c r="S27" s="320"/>
      <c r="T27" s="320"/>
      <c r="U27" s="320"/>
      <c r="V27" s="796" t="s">
        <v>50</v>
      </c>
      <c r="W27" s="797"/>
      <c r="X27" s="805" t="s">
        <v>250</v>
      </c>
      <c r="Y27" s="805"/>
      <c r="Z27" s="805"/>
      <c r="AA27" s="805"/>
      <c r="AB27" s="805"/>
      <c r="AC27" s="805"/>
      <c r="AD27" s="382"/>
      <c r="AE27" s="320"/>
      <c r="AF27" s="320"/>
      <c r="AG27" s="320"/>
      <c r="AH27" s="320"/>
      <c r="AI27" s="383"/>
      <c r="AJ27" s="796" t="s">
        <v>260</v>
      </c>
      <c r="AK27" s="797"/>
      <c r="AL27" s="805" t="s">
        <v>251</v>
      </c>
      <c r="AM27" s="805"/>
      <c r="AN27" s="805"/>
      <c r="AO27" s="805"/>
      <c r="AP27" s="805"/>
      <c r="AQ27" s="805"/>
      <c r="AR27" s="382"/>
      <c r="AS27" s="320"/>
      <c r="AT27" s="320"/>
      <c r="AU27" s="320"/>
      <c r="AV27" s="320"/>
      <c r="AW27" s="320"/>
      <c r="AX27" s="796" t="s">
        <v>50</v>
      </c>
      <c r="AY27" s="797"/>
      <c r="AZ27" s="805" t="s">
        <v>252</v>
      </c>
      <c r="BA27" s="805"/>
      <c r="BB27" s="805"/>
      <c r="BC27" s="805"/>
      <c r="BD27" s="805"/>
      <c r="BE27" s="805"/>
      <c r="BF27" s="382"/>
      <c r="BG27" s="320"/>
      <c r="BH27" s="320"/>
      <c r="BI27" s="321"/>
      <c r="BJ27" s="321"/>
      <c r="BK27" s="321"/>
      <c r="BL27" s="796" t="s">
        <v>50</v>
      </c>
      <c r="BM27" s="797"/>
      <c r="BN27" s="805" t="s">
        <v>253</v>
      </c>
      <c r="BO27" s="805"/>
      <c r="BP27" s="805"/>
      <c r="BQ27" s="805"/>
      <c r="BR27" s="805"/>
      <c r="BS27" s="805"/>
      <c r="BT27" s="382"/>
      <c r="BU27" s="320"/>
      <c r="BV27" s="320"/>
      <c r="BW27" s="320"/>
      <c r="BX27" s="320"/>
      <c r="BY27" s="320"/>
      <c r="BZ27" s="796" t="s">
        <v>50</v>
      </c>
      <c r="CA27" s="797"/>
      <c r="CB27" s="118"/>
      <c r="CG27" s="121"/>
      <c r="CH27" s="121"/>
      <c r="CI27" s="1141" t="s">
        <v>214</v>
      </c>
      <c r="CJ27" s="1117"/>
      <c r="CK27" s="1117"/>
      <c r="CL27" s="1118"/>
      <c r="CM27" s="1130" t="s">
        <v>249</v>
      </c>
      <c r="CN27" s="1108"/>
      <c r="CO27" s="1108"/>
      <c r="CP27" s="1108"/>
      <c r="CQ27" s="1108"/>
      <c r="CR27" s="1109"/>
      <c r="CS27" s="214"/>
      <c r="CT27" s="215"/>
      <c r="CU27" s="215"/>
      <c r="CV27" s="215"/>
      <c r="CW27" s="215"/>
      <c r="CX27" s="215"/>
      <c r="CY27" s="1132" t="s">
        <v>50</v>
      </c>
      <c r="CZ27" s="1133"/>
      <c r="DA27" s="1130" t="s">
        <v>250</v>
      </c>
      <c r="DB27" s="1108"/>
      <c r="DC27" s="1108"/>
      <c r="DD27" s="1108"/>
      <c r="DE27" s="1108"/>
      <c r="DF27" s="1109"/>
      <c r="DG27" s="216"/>
      <c r="DH27" s="215"/>
      <c r="DI27" s="215"/>
      <c r="DJ27" s="215"/>
      <c r="DK27" s="215"/>
      <c r="DL27" s="217"/>
      <c r="DM27" s="1132" t="s">
        <v>260</v>
      </c>
      <c r="DN27" s="1133"/>
      <c r="DO27" s="1130" t="s">
        <v>251</v>
      </c>
      <c r="DP27" s="1108"/>
      <c r="DQ27" s="1108"/>
      <c r="DR27" s="1108"/>
      <c r="DS27" s="1108"/>
      <c r="DT27" s="1109"/>
      <c r="DU27" s="216"/>
      <c r="DV27" s="215"/>
      <c r="DW27" s="215"/>
      <c r="DX27" s="215"/>
      <c r="DY27" s="215"/>
      <c r="DZ27" s="215"/>
      <c r="EA27" s="1132" t="s">
        <v>50</v>
      </c>
      <c r="EB27" s="1133"/>
      <c r="EC27" s="1130" t="s">
        <v>252</v>
      </c>
      <c r="ED27" s="1108"/>
      <c r="EE27" s="1108"/>
      <c r="EF27" s="1108"/>
      <c r="EG27" s="1108"/>
      <c r="EH27" s="1109"/>
      <c r="EI27" s="216"/>
      <c r="EJ27" s="215"/>
      <c r="EK27" s="215"/>
      <c r="EL27" s="241"/>
      <c r="EM27" s="241"/>
      <c r="EN27" s="241"/>
      <c r="EO27" s="1132" t="s">
        <v>50</v>
      </c>
      <c r="EP27" s="1133"/>
      <c r="EQ27" s="1130" t="s">
        <v>253</v>
      </c>
      <c r="ER27" s="1108"/>
      <c r="ES27" s="1108"/>
      <c r="ET27" s="1108"/>
      <c r="EU27" s="1108"/>
      <c r="EV27" s="1109"/>
      <c r="EW27" s="216"/>
      <c r="EX27" s="215"/>
      <c r="EY27" s="215"/>
      <c r="EZ27" s="215"/>
      <c r="FA27" s="215"/>
      <c r="FB27" s="215"/>
      <c r="FC27" s="1132" t="s">
        <v>50</v>
      </c>
      <c r="FD27" s="1134"/>
      <c r="FF27" s="121"/>
      <c r="FG27" s="121"/>
    </row>
    <row r="28" spans="1:163" ht="24.75" thickBot="1">
      <c r="A28" s="74"/>
      <c r="B28" s="100"/>
      <c r="C28" s="100"/>
      <c r="D28" s="100"/>
      <c r="E28" s="100"/>
      <c r="F28" s="802"/>
      <c r="G28" s="803"/>
      <c r="H28" s="803"/>
      <c r="I28" s="803"/>
      <c r="J28" s="806"/>
      <c r="K28" s="807"/>
      <c r="L28" s="807"/>
      <c r="M28" s="807"/>
      <c r="N28" s="807"/>
      <c r="O28" s="807"/>
      <c r="P28" s="384"/>
      <c r="Q28" s="810" t="str">
        <f>IF('07nen'!$O$8="甲欄",IF('07nen'!$N$49="","",'07nen'!$N$49),"")</f>
        <v/>
      </c>
      <c r="R28" s="810"/>
      <c r="S28" s="810"/>
      <c r="T28" s="810"/>
      <c r="U28" s="810"/>
      <c r="V28" s="810"/>
      <c r="W28" s="811"/>
      <c r="X28" s="807"/>
      <c r="Y28" s="807"/>
      <c r="Z28" s="807"/>
      <c r="AA28" s="807"/>
      <c r="AB28" s="807"/>
      <c r="AC28" s="807"/>
      <c r="AD28" s="384"/>
      <c r="AE28" s="810" t="str">
        <f>IF('07nen'!$O$8="甲欄",IF('07nen'!$P$49="","",'07nen'!$P$49),"")</f>
        <v/>
      </c>
      <c r="AF28" s="810"/>
      <c r="AG28" s="810"/>
      <c r="AH28" s="810"/>
      <c r="AI28" s="810"/>
      <c r="AJ28" s="810"/>
      <c r="AK28" s="811"/>
      <c r="AL28" s="807"/>
      <c r="AM28" s="807"/>
      <c r="AN28" s="807"/>
      <c r="AO28" s="807"/>
      <c r="AP28" s="807"/>
      <c r="AQ28" s="807"/>
      <c r="AR28" s="384"/>
      <c r="AS28" s="812" t="str">
        <f>IF('07nen'!$O$8="甲欄",IF('07nen'!$N$50="","",'07nen'!$N$50),"")</f>
        <v/>
      </c>
      <c r="AT28" s="812"/>
      <c r="AU28" s="812"/>
      <c r="AV28" s="812"/>
      <c r="AW28" s="812"/>
      <c r="AX28" s="812"/>
      <c r="AY28" s="813"/>
      <c r="AZ28" s="807"/>
      <c r="BA28" s="807"/>
      <c r="BB28" s="807"/>
      <c r="BC28" s="807"/>
      <c r="BD28" s="807"/>
      <c r="BE28" s="807"/>
      <c r="BF28" s="384"/>
      <c r="BG28" s="812" t="str">
        <f>IF('07nen'!$O$8="甲欄",IF('07nen'!$N$51="","",'07nen'!$N$51),"")</f>
        <v/>
      </c>
      <c r="BH28" s="812"/>
      <c r="BI28" s="812"/>
      <c r="BJ28" s="812"/>
      <c r="BK28" s="812"/>
      <c r="BL28" s="812"/>
      <c r="BM28" s="813"/>
      <c r="BN28" s="807"/>
      <c r="BO28" s="807"/>
      <c r="BP28" s="807"/>
      <c r="BQ28" s="807"/>
      <c r="BR28" s="807"/>
      <c r="BS28" s="807"/>
      <c r="BT28" s="373"/>
      <c r="BU28" s="812" t="str">
        <f>IF('07nen'!$O$8="甲欄",IF('07nen'!$P$51="","",'07nen'!$P$51),"")</f>
        <v/>
      </c>
      <c r="BV28" s="812"/>
      <c r="BW28" s="812"/>
      <c r="BX28" s="812"/>
      <c r="BY28" s="812"/>
      <c r="BZ28" s="812"/>
      <c r="CA28" s="813"/>
      <c r="CB28" s="118"/>
      <c r="CG28" s="121"/>
      <c r="CH28" s="121"/>
      <c r="CI28" s="1142"/>
      <c r="CJ28" s="1143"/>
      <c r="CK28" s="1143"/>
      <c r="CL28" s="1144"/>
      <c r="CM28" s="1131"/>
      <c r="CN28" s="1114"/>
      <c r="CO28" s="1114"/>
      <c r="CP28" s="1114"/>
      <c r="CQ28" s="1114"/>
      <c r="CR28" s="1115"/>
      <c r="CS28" s="218"/>
      <c r="CT28" s="1135" t="str">
        <f>IF('07nen'!$O$8="甲欄",IF('07nen'!$N$49="","",'07nen'!$N$49),"")</f>
        <v/>
      </c>
      <c r="CU28" s="1135"/>
      <c r="CV28" s="1135"/>
      <c r="CW28" s="1135"/>
      <c r="CX28" s="1135"/>
      <c r="CY28" s="1135"/>
      <c r="CZ28" s="1136"/>
      <c r="DA28" s="1131"/>
      <c r="DB28" s="1114"/>
      <c r="DC28" s="1114"/>
      <c r="DD28" s="1114"/>
      <c r="DE28" s="1114"/>
      <c r="DF28" s="1115"/>
      <c r="DG28" s="219"/>
      <c r="DH28" s="1135" t="str">
        <f>IF('07nen'!$O$8="甲欄",IF('07nen'!$P$49="","",'07nen'!$P$49),"")</f>
        <v/>
      </c>
      <c r="DI28" s="1135"/>
      <c r="DJ28" s="1135"/>
      <c r="DK28" s="1135"/>
      <c r="DL28" s="1135"/>
      <c r="DM28" s="1135"/>
      <c r="DN28" s="1136"/>
      <c r="DO28" s="1131"/>
      <c r="DP28" s="1114"/>
      <c r="DQ28" s="1114"/>
      <c r="DR28" s="1114"/>
      <c r="DS28" s="1114"/>
      <c r="DT28" s="1115"/>
      <c r="DU28" s="219"/>
      <c r="DV28" s="1137" t="str">
        <f>IF('07nen'!$O$8="甲欄",IF('07nen'!$N$50="","",'07nen'!$N$50),"")</f>
        <v/>
      </c>
      <c r="DW28" s="1137"/>
      <c r="DX28" s="1137"/>
      <c r="DY28" s="1137"/>
      <c r="DZ28" s="1137"/>
      <c r="EA28" s="1137"/>
      <c r="EB28" s="1138"/>
      <c r="EC28" s="1131"/>
      <c r="ED28" s="1114"/>
      <c r="EE28" s="1114"/>
      <c r="EF28" s="1114"/>
      <c r="EG28" s="1114"/>
      <c r="EH28" s="1115"/>
      <c r="EI28" s="219"/>
      <c r="EJ28" s="1137" t="str">
        <f>IF('07nen'!$O$8="甲欄",IF('07nen'!$N$51="","",'07nen'!$N$51),"")</f>
        <v/>
      </c>
      <c r="EK28" s="1137"/>
      <c r="EL28" s="1137"/>
      <c r="EM28" s="1137"/>
      <c r="EN28" s="1137"/>
      <c r="EO28" s="1137"/>
      <c r="EP28" s="1138"/>
      <c r="EQ28" s="1131"/>
      <c r="ER28" s="1114"/>
      <c r="ES28" s="1114"/>
      <c r="ET28" s="1114"/>
      <c r="EU28" s="1114"/>
      <c r="EV28" s="1115"/>
      <c r="EW28" s="220"/>
      <c r="EX28" s="1145" t="str">
        <f>IF('07nen'!$O$8="甲欄",IF('07nen'!$P$51="","",'07nen'!$P$51),"")</f>
        <v/>
      </c>
      <c r="EY28" s="1145"/>
      <c r="EZ28" s="1145"/>
      <c r="FA28" s="1145"/>
      <c r="FB28" s="1145"/>
      <c r="FC28" s="1145"/>
      <c r="FD28" s="1146"/>
      <c r="FE28" s="126"/>
      <c r="FF28" s="121"/>
      <c r="FG28" s="121"/>
    </row>
    <row r="29" spans="1:163" ht="16.899999999999999" customHeight="1" thickTop="1">
      <c r="A29" s="77"/>
      <c r="B29" s="100"/>
      <c r="C29" s="100"/>
      <c r="D29" s="100"/>
      <c r="E29" s="100"/>
      <c r="F29" s="834" t="s">
        <v>215</v>
      </c>
      <c r="G29" s="835"/>
      <c r="H29" s="835"/>
      <c r="I29" s="836"/>
      <c r="J29" s="841" t="s">
        <v>229</v>
      </c>
      <c r="K29" s="842"/>
      <c r="L29" s="842"/>
      <c r="M29" s="842"/>
      <c r="N29" s="842"/>
      <c r="O29" s="842"/>
      <c r="P29" s="843"/>
      <c r="Q29" s="846" t="str">
        <f>IF('07nen'!$O$8="甲欄",IF('07nen'!$B$52="－","",'07nen'!$B$52),"")</f>
        <v/>
      </c>
      <c r="R29" s="847"/>
      <c r="S29" s="847"/>
      <c r="T29" s="847"/>
      <c r="U29" s="847"/>
      <c r="V29" s="847"/>
      <c r="W29" s="847"/>
      <c r="X29" s="848"/>
      <c r="Y29" s="852" t="s">
        <v>227</v>
      </c>
      <c r="Z29" s="835"/>
      <c r="AA29" s="835"/>
      <c r="AB29" s="835"/>
      <c r="AC29" s="835"/>
      <c r="AD29" s="829"/>
      <c r="AE29" s="830"/>
      <c r="AF29" s="386"/>
      <c r="AG29" s="387"/>
      <c r="AH29" s="832" t="s">
        <v>218</v>
      </c>
      <c r="AI29" s="832"/>
      <c r="AJ29" s="388"/>
      <c r="AK29" s="387"/>
      <c r="AL29" s="601" t="s">
        <v>217</v>
      </c>
      <c r="AM29" s="853"/>
      <c r="AN29" s="389"/>
      <c r="AO29" s="389"/>
      <c r="AP29" s="601" t="s">
        <v>216</v>
      </c>
      <c r="AQ29" s="602"/>
      <c r="AR29" s="828" t="s">
        <v>256</v>
      </c>
      <c r="AS29" s="829"/>
      <c r="AT29" s="829"/>
      <c r="AU29" s="829"/>
      <c r="AV29" s="829"/>
      <c r="AW29" s="829"/>
      <c r="AX29" s="830"/>
      <c r="AY29" s="822" t="str">
        <f>IF('07nen'!$O$8="甲欄",IF('07nen'!$E$54="－","",'07nen'!$E$54),"")</f>
        <v/>
      </c>
      <c r="AZ29" s="823"/>
      <c r="BA29" s="823"/>
      <c r="BB29" s="823"/>
      <c r="BC29" s="823"/>
      <c r="BD29" s="823"/>
      <c r="BE29" s="824"/>
      <c r="BF29" s="828" t="s">
        <v>254</v>
      </c>
      <c r="BG29" s="829"/>
      <c r="BH29" s="829"/>
      <c r="BI29" s="829"/>
      <c r="BJ29" s="829"/>
      <c r="BK29" s="829"/>
      <c r="BL29" s="830"/>
      <c r="BM29" s="122"/>
      <c r="BN29" s="390"/>
      <c r="BO29" s="390"/>
      <c r="BP29" s="390"/>
      <c r="BQ29" s="390"/>
      <c r="BR29" s="390"/>
      <c r="BS29" s="390"/>
      <c r="BV29" s="387"/>
      <c r="BW29" s="387"/>
      <c r="BX29" s="387"/>
      <c r="BY29" s="387"/>
      <c r="BZ29" s="832" t="s">
        <v>50</v>
      </c>
      <c r="CA29" s="833"/>
      <c r="CB29" s="118"/>
      <c r="CG29" s="121"/>
      <c r="CH29" s="121"/>
      <c r="CI29" s="1107" t="s">
        <v>215</v>
      </c>
      <c r="CJ29" s="1108"/>
      <c r="CK29" s="1108"/>
      <c r="CL29" s="1109"/>
      <c r="CM29" s="1116" t="s">
        <v>229</v>
      </c>
      <c r="CN29" s="1117"/>
      <c r="CO29" s="1117"/>
      <c r="CP29" s="1117"/>
      <c r="CQ29" s="1117"/>
      <c r="CR29" s="1117"/>
      <c r="CS29" s="1118"/>
      <c r="CT29" s="1122" t="str">
        <f>IF('07nen'!$O$8="甲欄",IF('07nen'!$B$52="－","",'07nen'!$B$52),"")</f>
        <v/>
      </c>
      <c r="CU29" s="1123"/>
      <c r="CV29" s="1123"/>
      <c r="CW29" s="1123"/>
      <c r="CX29" s="1123"/>
      <c r="CY29" s="1123"/>
      <c r="CZ29" s="1123"/>
      <c r="DA29" s="1124"/>
      <c r="DB29" s="1130" t="s">
        <v>227</v>
      </c>
      <c r="DC29" s="1108"/>
      <c r="DD29" s="1108"/>
      <c r="DE29" s="1108"/>
      <c r="DF29" s="1108"/>
      <c r="DG29" s="1108"/>
      <c r="DH29" s="1109"/>
      <c r="DI29" s="221"/>
      <c r="DJ29" s="222"/>
      <c r="DK29" s="1132" t="s">
        <v>218</v>
      </c>
      <c r="DL29" s="1160"/>
      <c r="DM29" s="223"/>
      <c r="DN29" s="222"/>
      <c r="DO29" s="1132" t="s">
        <v>217</v>
      </c>
      <c r="DP29" s="1160"/>
      <c r="DQ29" s="222"/>
      <c r="DR29" s="222"/>
      <c r="DS29" s="1132" t="s">
        <v>216</v>
      </c>
      <c r="DT29" s="1133"/>
      <c r="DU29" s="1130" t="s">
        <v>256</v>
      </c>
      <c r="DV29" s="1108"/>
      <c r="DW29" s="1108"/>
      <c r="DX29" s="1108"/>
      <c r="DY29" s="1108"/>
      <c r="DZ29" s="1108"/>
      <c r="EA29" s="1109"/>
      <c r="EB29" s="1161" t="str">
        <f>IF('07nen'!$O$8="甲欄",IF('07nen'!$E$54="－","",'07nen'!$E$54),"")</f>
        <v/>
      </c>
      <c r="EC29" s="1162"/>
      <c r="ED29" s="1162"/>
      <c r="EE29" s="1162"/>
      <c r="EF29" s="1162"/>
      <c r="EG29" s="1162"/>
      <c r="EH29" s="1163"/>
      <c r="EI29" s="1130" t="s">
        <v>254</v>
      </c>
      <c r="EJ29" s="1108"/>
      <c r="EK29" s="1108"/>
      <c r="EL29" s="1108"/>
      <c r="EM29" s="1108"/>
      <c r="EN29" s="1108"/>
      <c r="EO29" s="1109"/>
      <c r="EP29" s="215"/>
      <c r="EQ29" s="215"/>
      <c r="ER29" s="215"/>
      <c r="ES29" s="215"/>
      <c r="ET29" s="215"/>
      <c r="EU29" s="215"/>
      <c r="EV29" s="215"/>
      <c r="EW29" s="215"/>
      <c r="EX29" s="215"/>
      <c r="EY29" s="222"/>
      <c r="EZ29" s="222"/>
      <c r="FA29" s="222"/>
      <c r="FB29" s="222"/>
      <c r="FC29" s="1132" t="s">
        <v>50</v>
      </c>
      <c r="FD29" s="1134"/>
      <c r="FF29" s="121"/>
      <c r="FG29" s="121"/>
    </row>
    <row r="30" spans="1:163" ht="24">
      <c r="A30" s="74"/>
      <c r="B30" s="100"/>
      <c r="C30" s="100"/>
      <c r="D30" s="100"/>
      <c r="E30" s="100"/>
      <c r="F30" s="837"/>
      <c r="G30" s="829"/>
      <c r="H30" s="829"/>
      <c r="I30" s="830"/>
      <c r="J30" s="844"/>
      <c r="K30" s="803"/>
      <c r="L30" s="803"/>
      <c r="M30" s="803"/>
      <c r="N30" s="803"/>
      <c r="O30" s="803"/>
      <c r="P30" s="845"/>
      <c r="Q30" s="849"/>
      <c r="R30" s="850"/>
      <c r="S30" s="850"/>
      <c r="T30" s="850"/>
      <c r="U30" s="850"/>
      <c r="V30" s="850"/>
      <c r="W30" s="850"/>
      <c r="X30" s="851"/>
      <c r="Y30" s="806"/>
      <c r="Z30" s="807"/>
      <c r="AA30" s="807"/>
      <c r="AB30" s="807"/>
      <c r="AC30" s="807"/>
      <c r="AD30" s="807"/>
      <c r="AE30" s="831"/>
      <c r="AF30" s="816" t="str">
        <f>IF('07nen'!$O$8="甲欄",IF('07nen'!$C$54="","",'07nen'!$C$54),"")</f>
        <v/>
      </c>
      <c r="AG30" s="817"/>
      <c r="AH30" s="817"/>
      <c r="AI30" s="207"/>
      <c r="AJ30" s="391"/>
      <c r="AK30" s="818" t="str">
        <f>IF('07nen'!$O$8="甲欄",IF('07nen'!$C$54="","",'07nen'!$C$54),"")</f>
        <v/>
      </c>
      <c r="AL30" s="818"/>
      <c r="AM30" s="392"/>
      <c r="AN30" s="208"/>
      <c r="AO30" s="819" t="str">
        <f>IF('07nen'!$O$8="甲欄",IF('07nen'!$C$54="","",'07nen'!$C$54),"")</f>
        <v/>
      </c>
      <c r="AP30" s="819"/>
      <c r="AQ30" s="393"/>
      <c r="AR30" s="806"/>
      <c r="AS30" s="807"/>
      <c r="AT30" s="807"/>
      <c r="AU30" s="807"/>
      <c r="AV30" s="807"/>
      <c r="AW30" s="807"/>
      <c r="AX30" s="831"/>
      <c r="AY30" s="825"/>
      <c r="AZ30" s="826"/>
      <c r="BA30" s="826"/>
      <c r="BB30" s="826"/>
      <c r="BC30" s="826"/>
      <c r="BD30" s="826"/>
      <c r="BE30" s="827"/>
      <c r="BF30" s="806"/>
      <c r="BG30" s="807"/>
      <c r="BH30" s="807"/>
      <c r="BI30" s="807"/>
      <c r="BJ30" s="807"/>
      <c r="BK30" s="807"/>
      <c r="BL30" s="831"/>
      <c r="BM30" s="394"/>
      <c r="BN30" s="820" t="str">
        <f>IF('07nen'!$O$8="甲欄",IF('07nen'!$F$54="","",'07nen'!$F$54),"")</f>
        <v/>
      </c>
      <c r="BO30" s="820"/>
      <c r="BP30" s="820"/>
      <c r="BQ30" s="820"/>
      <c r="BR30" s="820"/>
      <c r="BS30" s="820"/>
      <c r="BT30" s="820"/>
      <c r="BU30" s="820"/>
      <c r="BV30" s="820"/>
      <c r="BW30" s="820"/>
      <c r="BX30" s="820"/>
      <c r="BY30" s="820"/>
      <c r="BZ30" s="820"/>
      <c r="CA30" s="821"/>
      <c r="CB30" s="118"/>
      <c r="CG30" s="121"/>
      <c r="CH30" s="121"/>
      <c r="CI30" s="1110"/>
      <c r="CJ30" s="1111"/>
      <c r="CK30" s="1111"/>
      <c r="CL30" s="1112"/>
      <c r="CM30" s="1119"/>
      <c r="CN30" s="1120"/>
      <c r="CO30" s="1120"/>
      <c r="CP30" s="1120"/>
      <c r="CQ30" s="1120"/>
      <c r="CR30" s="1120"/>
      <c r="CS30" s="1121"/>
      <c r="CT30" s="1125"/>
      <c r="CU30" s="1126"/>
      <c r="CV30" s="1126"/>
      <c r="CW30" s="1126"/>
      <c r="CX30" s="1126"/>
      <c r="CY30" s="1126"/>
      <c r="CZ30" s="1126"/>
      <c r="DA30" s="1127"/>
      <c r="DB30" s="1151"/>
      <c r="DC30" s="1152"/>
      <c r="DD30" s="1152"/>
      <c r="DE30" s="1152"/>
      <c r="DF30" s="1152"/>
      <c r="DG30" s="1152"/>
      <c r="DH30" s="1153"/>
      <c r="DI30" s="1154" t="str">
        <f>IF('07nen'!$O$8="甲欄",IF('07nen'!$C$54="","",'07nen'!$C$54),"")</f>
        <v/>
      </c>
      <c r="DJ30" s="1155"/>
      <c r="DK30" s="1155"/>
      <c r="DL30" s="207"/>
      <c r="DM30" s="212"/>
      <c r="DN30" s="1156" t="str">
        <f>IF('07nen'!$O$8="甲欄",IF('07nen'!$C$54="","",'07nen'!$C$54),"")</f>
        <v/>
      </c>
      <c r="DO30" s="1156"/>
      <c r="DP30" s="213"/>
      <c r="DQ30" s="208"/>
      <c r="DR30" s="1157" t="str">
        <f>IF('07nen'!$O$8="甲欄",IF('07nen'!$C$54="","",'07nen'!$C$54),"")</f>
        <v/>
      </c>
      <c r="DS30" s="1157"/>
      <c r="DT30" s="210"/>
      <c r="DU30" s="1151"/>
      <c r="DV30" s="1152"/>
      <c r="DW30" s="1152"/>
      <c r="DX30" s="1152"/>
      <c r="DY30" s="1152"/>
      <c r="DZ30" s="1152"/>
      <c r="EA30" s="1153"/>
      <c r="EB30" s="1164"/>
      <c r="EC30" s="1165"/>
      <c r="ED30" s="1165"/>
      <c r="EE30" s="1165"/>
      <c r="EF30" s="1165"/>
      <c r="EG30" s="1165"/>
      <c r="EH30" s="1166"/>
      <c r="EI30" s="1151"/>
      <c r="EJ30" s="1152"/>
      <c r="EK30" s="1152"/>
      <c r="EL30" s="1152"/>
      <c r="EM30" s="1152"/>
      <c r="EN30" s="1152"/>
      <c r="EO30" s="1153"/>
      <c r="EP30" s="205"/>
      <c r="EQ30" s="1158" t="str">
        <f>IF('07nen'!$O$8="甲欄",IF('07nen'!$F$54="","",'07nen'!$F$54),"")</f>
        <v/>
      </c>
      <c r="ER30" s="1158"/>
      <c r="ES30" s="1158"/>
      <c r="ET30" s="1158"/>
      <c r="EU30" s="1158"/>
      <c r="EV30" s="1158"/>
      <c r="EW30" s="1158"/>
      <c r="EX30" s="1158"/>
      <c r="EY30" s="1158"/>
      <c r="EZ30" s="1158"/>
      <c r="FA30" s="1158"/>
      <c r="FB30" s="1158"/>
      <c r="FC30" s="1158"/>
      <c r="FD30" s="1159"/>
      <c r="FE30" s="126"/>
      <c r="FF30" s="121"/>
      <c r="FG30" s="121"/>
    </row>
    <row r="31" spans="1:163" ht="16.149999999999999" customHeight="1">
      <c r="A31" s="77"/>
      <c r="B31" s="100"/>
      <c r="C31" s="100"/>
      <c r="D31" s="100"/>
      <c r="E31" s="100"/>
      <c r="F31" s="837"/>
      <c r="G31" s="829"/>
      <c r="H31" s="829"/>
      <c r="I31" s="830"/>
      <c r="J31" s="841" t="s">
        <v>230</v>
      </c>
      <c r="K31" s="842"/>
      <c r="L31" s="842"/>
      <c r="M31" s="842"/>
      <c r="N31" s="842"/>
      <c r="O31" s="842"/>
      <c r="P31" s="854"/>
      <c r="Q31" s="374"/>
      <c r="R31" s="390"/>
      <c r="S31" s="390"/>
      <c r="T31" s="390"/>
      <c r="U31" s="390"/>
      <c r="V31" s="390"/>
      <c r="W31" s="601" t="s">
        <v>50</v>
      </c>
      <c r="X31" s="602"/>
      <c r="Y31" s="852" t="s">
        <v>228</v>
      </c>
      <c r="Z31" s="835"/>
      <c r="AA31" s="835"/>
      <c r="AB31" s="835"/>
      <c r="AC31" s="835"/>
      <c r="AD31" s="835"/>
      <c r="AE31" s="836"/>
      <c r="AF31" s="395"/>
      <c r="AG31" s="389"/>
      <c r="AH31" s="601" t="s">
        <v>218</v>
      </c>
      <c r="AI31" s="601"/>
      <c r="AJ31" s="396"/>
      <c r="AK31" s="389"/>
      <c r="AL31" s="601" t="s">
        <v>217</v>
      </c>
      <c r="AM31" s="853"/>
      <c r="AN31" s="389"/>
      <c r="AO31" s="389"/>
      <c r="AP31" s="601" t="s">
        <v>216</v>
      </c>
      <c r="AQ31" s="602"/>
      <c r="AR31" s="852" t="s">
        <v>257</v>
      </c>
      <c r="AS31" s="835"/>
      <c r="AT31" s="835"/>
      <c r="AU31" s="835"/>
      <c r="AV31" s="835"/>
      <c r="AW31" s="835"/>
      <c r="AX31" s="836"/>
      <c r="AY31" s="872" t="str">
        <f>IF('07nen'!$O$8="甲欄",IF('07nen'!$E$55="－","",'07nen'!$E$55),"")</f>
        <v/>
      </c>
      <c r="AZ31" s="823"/>
      <c r="BA31" s="823"/>
      <c r="BB31" s="823"/>
      <c r="BC31" s="823"/>
      <c r="BD31" s="823"/>
      <c r="BE31" s="824"/>
      <c r="BF31" s="852" t="s">
        <v>255</v>
      </c>
      <c r="BG31" s="835"/>
      <c r="BH31" s="835"/>
      <c r="BI31" s="835"/>
      <c r="BJ31" s="835"/>
      <c r="BK31" s="835"/>
      <c r="BL31" s="836"/>
      <c r="BM31" s="397"/>
      <c r="BN31" s="390"/>
      <c r="BO31" s="390"/>
      <c r="BP31" s="390"/>
      <c r="BQ31" s="390"/>
      <c r="BR31" s="390"/>
      <c r="BS31" s="390"/>
      <c r="BT31" s="390"/>
      <c r="BU31" s="390"/>
      <c r="BV31" s="389"/>
      <c r="BW31" s="389"/>
      <c r="BX31" s="389"/>
      <c r="BY31" s="389"/>
      <c r="BZ31" s="601" t="s">
        <v>50</v>
      </c>
      <c r="CA31" s="876"/>
      <c r="CB31" s="118"/>
      <c r="CG31" s="121"/>
      <c r="CH31" s="121"/>
      <c r="CI31" s="1110"/>
      <c r="CJ31" s="1111"/>
      <c r="CK31" s="1111"/>
      <c r="CL31" s="1112"/>
      <c r="CM31" s="1147" t="s">
        <v>230</v>
      </c>
      <c r="CN31" s="1148"/>
      <c r="CO31" s="1148"/>
      <c r="CP31" s="1148"/>
      <c r="CQ31" s="1148"/>
      <c r="CR31" s="1148"/>
      <c r="CS31" s="1149"/>
      <c r="CT31" s="283"/>
      <c r="CU31" s="204"/>
      <c r="CV31" s="204"/>
      <c r="CW31" s="204"/>
      <c r="CX31" s="204"/>
      <c r="CY31" s="204"/>
      <c r="CZ31" s="1139" t="s">
        <v>50</v>
      </c>
      <c r="DA31" s="1140"/>
      <c r="DB31" s="1170" t="s">
        <v>228</v>
      </c>
      <c r="DC31" s="1171"/>
      <c r="DD31" s="1171"/>
      <c r="DE31" s="1171"/>
      <c r="DF31" s="1171"/>
      <c r="DG31" s="1171"/>
      <c r="DH31" s="1172"/>
      <c r="DI31" s="209"/>
      <c r="DJ31" s="206"/>
      <c r="DK31" s="1139" t="s">
        <v>218</v>
      </c>
      <c r="DL31" s="1178"/>
      <c r="DM31" s="211"/>
      <c r="DN31" s="206"/>
      <c r="DO31" s="1139" t="s">
        <v>217</v>
      </c>
      <c r="DP31" s="1178"/>
      <c r="DQ31" s="206"/>
      <c r="DR31" s="206"/>
      <c r="DS31" s="1139" t="s">
        <v>216</v>
      </c>
      <c r="DT31" s="1140"/>
      <c r="DU31" s="1170" t="s">
        <v>257</v>
      </c>
      <c r="DV31" s="1171"/>
      <c r="DW31" s="1171"/>
      <c r="DX31" s="1171"/>
      <c r="DY31" s="1171"/>
      <c r="DZ31" s="1171"/>
      <c r="EA31" s="1172"/>
      <c r="EB31" s="1179" t="str">
        <f>IF('07nen'!$O$8="甲欄",IF('07nen'!$E$55="－","",'07nen'!$E$55),"")</f>
        <v/>
      </c>
      <c r="EC31" s="1180"/>
      <c r="ED31" s="1180"/>
      <c r="EE31" s="1180"/>
      <c r="EF31" s="1180"/>
      <c r="EG31" s="1180"/>
      <c r="EH31" s="1181"/>
      <c r="EI31" s="1170" t="s">
        <v>255</v>
      </c>
      <c r="EJ31" s="1171"/>
      <c r="EK31" s="1171"/>
      <c r="EL31" s="1171"/>
      <c r="EM31" s="1171"/>
      <c r="EN31" s="1171"/>
      <c r="EO31" s="1172"/>
      <c r="EP31" s="204"/>
      <c r="EQ31" s="204"/>
      <c r="ER31" s="204"/>
      <c r="ES31" s="204"/>
      <c r="ET31" s="204"/>
      <c r="EU31" s="204"/>
      <c r="EV31" s="204"/>
      <c r="EW31" s="204"/>
      <c r="EX31" s="204"/>
      <c r="EY31" s="206"/>
      <c r="EZ31" s="206"/>
      <c r="FA31" s="206"/>
      <c r="FB31" s="206"/>
      <c r="FC31" s="1139" t="s">
        <v>50</v>
      </c>
      <c r="FD31" s="1173"/>
      <c r="FF31" s="121"/>
      <c r="FG31" s="121"/>
    </row>
    <row r="32" spans="1:163" ht="24.75" thickBot="1">
      <c r="A32" s="74"/>
      <c r="B32" s="100"/>
      <c r="C32" s="100"/>
      <c r="D32" s="100"/>
      <c r="E32" s="100"/>
      <c r="F32" s="838"/>
      <c r="G32" s="839"/>
      <c r="H32" s="839"/>
      <c r="I32" s="840"/>
      <c r="J32" s="855"/>
      <c r="K32" s="856"/>
      <c r="L32" s="856"/>
      <c r="M32" s="856"/>
      <c r="N32" s="856"/>
      <c r="O32" s="856"/>
      <c r="P32" s="857"/>
      <c r="Q32" s="861" t="str">
        <f>IF('07nen'!$O$8="甲欄",IF('07nen'!$F$52="","",'07nen'!$F$52),"")</f>
        <v/>
      </c>
      <c r="R32" s="862"/>
      <c r="S32" s="862"/>
      <c r="T32" s="862"/>
      <c r="U32" s="862"/>
      <c r="V32" s="862"/>
      <c r="W32" s="862"/>
      <c r="X32" s="863"/>
      <c r="Y32" s="871"/>
      <c r="Z32" s="839"/>
      <c r="AA32" s="839"/>
      <c r="AB32" s="839"/>
      <c r="AC32" s="839"/>
      <c r="AD32" s="839"/>
      <c r="AE32" s="840"/>
      <c r="AF32" s="864" t="str">
        <f>IF('07nen'!$O$8="甲欄",IF('07nen'!$C$55="","",'07nen'!$C$55),"")</f>
        <v/>
      </c>
      <c r="AG32" s="865"/>
      <c r="AH32" s="865"/>
      <c r="AI32" s="398"/>
      <c r="AJ32" s="399"/>
      <c r="AK32" s="866" t="str">
        <f>IF('07nen'!$O$8="甲欄",IF('07nen'!$C$55="","",'07nen'!$C$55),"")</f>
        <v/>
      </c>
      <c r="AL32" s="866"/>
      <c r="AM32" s="400"/>
      <c r="AN32" s="401"/>
      <c r="AO32" s="867" t="str">
        <f>IF('07nen'!$O$8="甲欄",IF('07nen'!$C$55="","",'07nen'!$C$55),"")</f>
        <v/>
      </c>
      <c r="AP32" s="867"/>
      <c r="AQ32" s="402"/>
      <c r="AR32" s="871"/>
      <c r="AS32" s="829"/>
      <c r="AT32" s="829"/>
      <c r="AU32" s="829"/>
      <c r="AV32" s="829"/>
      <c r="AW32" s="829"/>
      <c r="AX32" s="830"/>
      <c r="AY32" s="873"/>
      <c r="AZ32" s="874"/>
      <c r="BA32" s="874"/>
      <c r="BB32" s="874"/>
      <c r="BC32" s="874"/>
      <c r="BD32" s="874"/>
      <c r="BE32" s="875"/>
      <c r="BF32" s="871"/>
      <c r="BG32" s="839"/>
      <c r="BH32" s="839"/>
      <c r="BI32" s="839"/>
      <c r="BJ32" s="839"/>
      <c r="BK32" s="839"/>
      <c r="BL32" s="840"/>
      <c r="BM32" s="403"/>
      <c r="BN32" s="868" t="str">
        <f>IF('07nen'!$O$8="甲欄",IF('07nen'!$F$55="","",'07nen'!$F$55),"")</f>
        <v/>
      </c>
      <c r="BO32" s="868"/>
      <c r="BP32" s="868"/>
      <c r="BQ32" s="868"/>
      <c r="BR32" s="868"/>
      <c r="BS32" s="868"/>
      <c r="BT32" s="868"/>
      <c r="BU32" s="869"/>
      <c r="BV32" s="869"/>
      <c r="BW32" s="869"/>
      <c r="BX32" s="869"/>
      <c r="BY32" s="869"/>
      <c r="BZ32" s="869"/>
      <c r="CA32" s="870"/>
      <c r="CB32" s="118"/>
      <c r="CG32" s="121"/>
      <c r="CH32" s="121"/>
      <c r="CI32" s="1113"/>
      <c r="CJ32" s="1114"/>
      <c r="CK32" s="1114"/>
      <c r="CL32" s="1115"/>
      <c r="CM32" s="1150"/>
      <c r="CN32" s="1143"/>
      <c r="CO32" s="1143"/>
      <c r="CP32" s="1143"/>
      <c r="CQ32" s="1143"/>
      <c r="CR32" s="1143"/>
      <c r="CS32" s="1144"/>
      <c r="CT32" s="1174" t="str">
        <f>IF('07nen'!$O$8="甲欄",IF('07nen'!$F$52="","",'07nen'!$F$52),"")</f>
        <v/>
      </c>
      <c r="CU32" s="1135"/>
      <c r="CV32" s="1135"/>
      <c r="CW32" s="1135"/>
      <c r="CX32" s="1135"/>
      <c r="CY32" s="1135"/>
      <c r="CZ32" s="1135"/>
      <c r="DA32" s="1136"/>
      <c r="DB32" s="1131"/>
      <c r="DC32" s="1114"/>
      <c r="DD32" s="1114"/>
      <c r="DE32" s="1114"/>
      <c r="DF32" s="1114"/>
      <c r="DG32" s="1114"/>
      <c r="DH32" s="1115"/>
      <c r="DI32" s="1175" t="str">
        <f>IF('07nen'!$O$8="甲欄",IF('07nen'!$C$55="","",'07nen'!$C$55),"")</f>
        <v/>
      </c>
      <c r="DJ32" s="1176"/>
      <c r="DK32" s="1176"/>
      <c r="DL32" s="224"/>
      <c r="DM32" s="225"/>
      <c r="DN32" s="1177" t="str">
        <f>IF('07nen'!$O$8="甲欄",IF('07nen'!$C$55="","",'07nen'!$C$55),"")</f>
        <v/>
      </c>
      <c r="DO32" s="1177"/>
      <c r="DP32" s="226"/>
      <c r="DQ32" s="227"/>
      <c r="DR32" s="1185" t="str">
        <f>IF('07nen'!$O$8="甲欄",IF('07nen'!$C$55="","",'07nen'!$C$55),"")</f>
        <v/>
      </c>
      <c r="DS32" s="1185"/>
      <c r="DT32" s="228"/>
      <c r="DU32" s="1131"/>
      <c r="DV32" s="1114"/>
      <c r="DW32" s="1114"/>
      <c r="DX32" s="1114"/>
      <c r="DY32" s="1114"/>
      <c r="DZ32" s="1114"/>
      <c r="EA32" s="1115"/>
      <c r="EB32" s="1182"/>
      <c r="EC32" s="1183"/>
      <c r="ED32" s="1183"/>
      <c r="EE32" s="1183"/>
      <c r="EF32" s="1183"/>
      <c r="EG32" s="1183"/>
      <c r="EH32" s="1184"/>
      <c r="EI32" s="1131"/>
      <c r="EJ32" s="1114"/>
      <c r="EK32" s="1114"/>
      <c r="EL32" s="1114"/>
      <c r="EM32" s="1114"/>
      <c r="EN32" s="1114"/>
      <c r="EO32" s="1115"/>
      <c r="EP32" s="219"/>
      <c r="EQ32" s="1128" t="str">
        <f>IF('07nen'!$O$8="甲欄",IF('07nen'!$F$55="","",'07nen'!$F$55),"")</f>
        <v/>
      </c>
      <c r="ER32" s="1128"/>
      <c r="ES32" s="1128"/>
      <c r="ET32" s="1128"/>
      <c r="EU32" s="1128"/>
      <c r="EV32" s="1128"/>
      <c r="EW32" s="1128"/>
      <c r="EX32" s="1128"/>
      <c r="EY32" s="1128"/>
      <c r="EZ32" s="1128"/>
      <c r="FA32" s="1128"/>
      <c r="FB32" s="1128"/>
      <c r="FC32" s="1128"/>
      <c r="FD32" s="1129"/>
      <c r="FE32" s="126"/>
      <c r="FF32" s="121"/>
      <c r="FG32" s="121"/>
    </row>
    <row r="33" spans="1:163" ht="12.6" customHeight="1" thickTop="1">
      <c r="A33" s="98"/>
      <c r="B33" s="100"/>
      <c r="C33" s="100"/>
      <c r="D33" s="100"/>
      <c r="E33" s="100"/>
      <c r="F33" s="937" t="s">
        <v>299</v>
      </c>
      <c r="G33" s="938"/>
      <c r="H33" s="938"/>
      <c r="I33" s="939"/>
      <c r="J33" s="755" t="s">
        <v>221</v>
      </c>
      <c r="K33" s="753"/>
      <c r="L33" s="753"/>
      <c r="M33" s="754"/>
      <c r="N33" s="124"/>
      <c r="O33" s="893" t="str">
        <f>IF('07nen'!$F$16="","",IF($X$35="","",'07nen'!$F$16))</f>
        <v/>
      </c>
      <c r="P33" s="893"/>
      <c r="Q33" s="893"/>
      <c r="R33" s="893"/>
      <c r="S33" s="893"/>
      <c r="T33" s="893"/>
      <c r="U33" s="893"/>
      <c r="V33" s="124"/>
      <c r="W33" s="124"/>
      <c r="X33" s="893" t="str">
        <f>IF('07nen'!$G$16="","",IF($X$35="","",'07nen'!$G$16))</f>
        <v/>
      </c>
      <c r="Y33" s="893"/>
      <c r="Z33" s="893"/>
      <c r="AA33" s="893"/>
      <c r="AB33" s="893"/>
      <c r="AC33" s="893"/>
      <c r="AD33" s="893"/>
      <c r="AE33" s="404"/>
      <c r="AF33" s="895" t="s">
        <v>220</v>
      </c>
      <c r="AG33" s="896"/>
      <c r="AH33" s="899" t="str">
        <f>IF('07nen'!$P$16="－","",IF('07nen'!$X$42&gt;0,'07nen'!$P$16,""))</f>
        <v/>
      </c>
      <c r="AI33" s="899"/>
      <c r="AJ33" s="899"/>
      <c r="AK33" s="899"/>
      <c r="AL33" s="901" t="s">
        <v>222</v>
      </c>
      <c r="AM33" s="901"/>
      <c r="AN33" s="901"/>
      <c r="AO33" s="901"/>
      <c r="AP33" s="901"/>
      <c r="AQ33" s="901"/>
      <c r="AR33" s="902"/>
      <c r="AS33" s="371"/>
      <c r="AT33" s="320"/>
      <c r="AU33" s="405"/>
      <c r="AV33" s="405"/>
      <c r="AW33" s="405"/>
      <c r="AX33" s="796" t="s">
        <v>260</v>
      </c>
      <c r="AY33" s="797"/>
      <c r="AZ33" s="831" t="s">
        <v>223</v>
      </c>
      <c r="BA33" s="858"/>
      <c r="BB33" s="858"/>
      <c r="BC33" s="858"/>
      <c r="BD33" s="858"/>
      <c r="BE33" s="858"/>
      <c r="BF33" s="858"/>
      <c r="BG33" s="385"/>
      <c r="BH33" s="306"/>
      <c r="BI33" s="387"/>
      <c r="BJ33" s="387"/>
      <c r="BK33" s="387"/>
      <c r="BL33" s="832" t="s">
        <v>50</v>
      </c>
      <c r="BM33" s="832"/>
      <c r="BN33" s="858" t="s">
        <v>224</v>
      </c>
      <c r="BO33" s="858"/>
      <c r="BP33" s="858"/>
      <c r="BQ33" s="858"/>
      <c r="BR33" s="858"/>
      <c r="BS33" s="858"/>
      <c r="BT33" s="806"/>
      <c r="BU33" s="371"/>
      <c r="BV33" s="320"/>
      <c r="BW33" s="405"/>
      <c r="BX33" s="405"/>
      <c r="BY33" s="405"/>
      <c r="BZ33" s="796" t="s">
        <v>50</v>
      </c>
      <c r="CA33" s="797"/>
      <c r="CB33" s="118"/>
      <c r="CG33" s="121"/>
      <c r="CH33" s="121"/>
      <c r="CI33" s="1232" t="s">
        <v>299</v>
      </c>
      <c r="CJ33" s="1233"/>
      <c r="CK33" s="1233"/>
      <c r="CL33" s="1234"/>
      <c r="CM33" s="755" t="s">
        <v>221</v>
      </c>
      <c r="CN33" s="753"/>
      <c r="CO33" s="753"/>
      <c r="CP33" s="754"/>
      <c r="CQ33" s="124"/>
      <c r="CR33" s="893" t="str">
        <f>IF('07nen'!$F$16="","",IF($X$35="","",'07nen'!$F$16))</f>
        <v/>
      </c>
      <c r="CS33" s="893"/>
      <c r="CT33" s="893"/>
      <c r="CU33" s="893"/>
      <c r="CV33" s="893"/>
      <c r="CW33" s="893"/>
      <c r="CX33" s="893"/>
      <c r="CY33" s="124"/>
      <c r="CZ33" s="124"/>
      <c r="DA33" s="893" t="str">
        <f>IF('07nen'!$G$16="","",IF($X$35="","",'07nen'!$G$16))</f>
        <v/>
      </c>
      <c r="DB33" s="893"/>
      <c r="DC33" s="893"/>
      <c r="DD33" s="893"/>
      <c r="DE33" s="893"/>
      <c r="DF33" s="893"/>
      <c r="DG33" s="893"/>
      <c r="DH33" s="404"/>
      <c r="DI33" s="895" t="s">
        <v>220</v>
      </c>
      <c r="DJ33" s="896"/>
      <c r="DK33" s="899" t="str">
        <f>IF('07nen'!$P$16="－","",IF('07nen'!$X$42&gt;0,'07nen'!$P$16,""))</f>
        <v/>
      </c>
      <c r="DL33" s="899"/>
      <c r="DM33" s="899"/>
      <c r="DN33" s="899"/>
      <c r="DO33" s="1198" t="s">
        <v>222</v>
      </c>
      <c r="DP33" s="1199"/>
      <c r="DQ33" s="1199"/>
      <c r="DR33" s="1199"/>
      <c r="DS33" s="1199"/>
      <c r="DT33" s="1199"/>
      <c r="DU33" s="1200"/>
      <c r="DV33" s="235"/>
      <c r="DW33" s="215"/>
      <c r="DX33" s="222"/>
      <c r="DY33" s="222"/>
      <c r="DZ33" s="222"/>
      <c r="EA33" s="1132" t="s">
        <v>260</v>
      </c>
      <c r="EB33" s="1133"/>
      <c r="EC33" s="1130" t="s">
        <v>223</v>
      </c>
      <c r="ED33" s="1108"/>
      <c r="EE33" s="1108"/>
      <c r="EF33" s="1108"/>
      <c r="EG33" s="1108"/>
      <c r="EH33" s="1108"/>
      <c r="EI33" s="1109"/>
      <c r="EJ33" s="284"/>
      <c r="EK33" s="233"/>
      <c r="EL33" s="222"/>
      <c r="EM33" s="222"/>
      <c r="EN33" s="222"/>
      <c r="EO33" s="1132" t="s">
        <v>50</v>
      </c>
      <c r="EP33" s="1133"/>
      <c r="EQ33" s="1130" t="s">
        <v>224</v>
      </c>
      <c r="ER33" s="1108"/>
      <c r="ES33" s="1108"/>
      <c r="ET33" s="1108"/>
      <c r="EU33" s="1108"/>
      <c r="EV33" s="1108"/>
      <c r="EW33" s="1109"/>
      <c r="EX33" s="235"/>
      <c r="EY33" s="215"/>
      <c r="EZ33" s="222"/>
      <c r="FA33" s="222"/>
      <c r="FB33" s="222"/>
      <c r="FC33" s="1132" t="s">
        <v>50</v>
      </c>
      <c r="FD33" s="1133"/>
      <c r="FE33" s="126"/>
      <c r="FF33" s="121"/>
      <c r="FG33" s="121"/>
    </row>
    <row r="34" spans="1:163" s="195" customFormat="1" ht="12" customHeight="1">
      <c r="A34" s="98"/>
      <c r="B34" s="194"/>
      <c r="C34" s="194"/>
      <c r="D34" s="194"/>
      <c r="E34" s="194"/>
      <c r="F34" s="937"/>
      <c r="G34" s="938"/>
      <c r="H34" s="938"/>
      <c r="I34" s="939"/>
      <c r="J34" s="943"/>
      <c r="K34" s="944"/>
      <c r="L34" s="944"/>
      <c r="M34" s="945"/>
      <c r="N34" s="406"/>
      <c r="O34" s="894"/>
      <c r="P34" s="894"/>
      <c r="Q34" s="894"/>
      <c r="R34" s="894"/>
      <c r="S34" s="894"/>
      <c r="T34" s="894"/>
      <c r="U34" s="894"/>
      <c r="V34" s="406"/>
      <c r="W34" s="406"/>
      <c r="X34" s="894"/>
      <c r="Y34" s="894"/>
      <c r="Z34" s="894"/>
      <c r="AA34" s="894"/>
      <c r="AB34" s="894"/>
      <c r="AC34" s="894"/>
      <c r="AD34" s="894"/>
      <c r="AE34" s="407"/>
      <c r="AF34" s="897"/>
      <c r="AG34" s="898"/>
      <c r="AH34" s="900"/>
      <c r="AI34" s="900"/>
      <c r="AJ34" s="900"/>
      <c r="AK34" s="900"/>
      <c r="AL34" s="903"/>
      <c r="AM34" s="903"/>
      <c r="AN34" s="903"/>
      <c r="AO34" s="903"/>
      <c r="AP34" s="903"/>
      <c r="AQ34" s="903"/>
      <c r="AR34" s="904"/>
      <c r="AS34" s="880" t="str">
        <f>IF('07nen'!$O$8="甲欄",IF('07nen'!$J$16="","",IF('07nen'!$X$42&gt;0,'07nen'!$K$38,"")),"")</f>
        <v/>
      </c>
      <c r="AT34" s="881"/>
      <c r="AU34" s="881"/>
      <c r="AV34" s="881"/>
      <c r="AW34" s="881"/>
      <c r="AX34" s="881"/>
      <c r="AY34" s="882"/>
      <c r="AZ34" s="878"/>
      <c r="BA34" s="859"/>
      <c r="BB34" s="859"/>
      <c r="BC34" s="859"/>
      <c r="BD34" s="859"/>
      <c r="BE34" s="859"/>
      <c r="BF34" s="859"/>
      <c r="BG34" s="881" t="str">
        <f>IF('07nen'!$O$8="甲欄",IF('07nen'!$P$54="","",'07nen'!$P$54),"")</f>
        <v/>
      </c>
      <c r="BH34" s="881"/>
      <c r="BI34" s="881"/>
      <c r="BJ34" s="881"/>
      <c r="BK34" s="881"/>
      <c r="BL34" s="881"/>
      <c r="BM34" s="881"/>
      <c r="BN34" s="859"/>
      <c r="BO34" s="859"/>
      <c r="BP34" s="859"/>
      <c r="BQ34" s="859"/>
      <c r="BR34" s="859"/>
      <c r="BS34" s="859"/>
      <c r="BT34" s="860"/>
      <c r="BU34" s="887" t="str">
        <f>IF('07nen'!$O$8="甲欄",IF('07nen'!$P$52="","",'07nen'!$P$52),"")</f>
        <v/>
      </c>
      <c r="BV34" s="888"/>
      <c r="BW34" s="888"/>
      <c r="BX34" s="888"/>
      <c r="BY34" s="888"/>
      <c r="BZ34" s="888"/>
      <c r="CA34" s="889"/>
      <c r="CB34" s="118"/>
      <c r="CG34" s="196"/>
      <c r="CH34" s="196"/>
      <c r="CI34" s="752"/>
      <c r="CJ34" s="938"/>
      <c r="CK34" s="938"/>
      <c r="CL34" s="1235"/>
      <c r="CM34" s="943"/>
      <c r="CN34" s="944"/>
      <c r="CO34" s="944"/>
      <c r="CP34" s="945"/>
      <c r="CQ34" s="406"/>
      <c r="CR34" s="894"/>
      <c r="CS34" s="894"/>
      <c r="CT34" s="894"/>
      <c r="CU34" s="894"/>
      <c r="CV34" s="894"/>
      <c r="CW34" s="894"/>
      <c r="CX34" s="894"/>
      <c r="CY34" s="406"/>
      <c r="CZ34" s="406"/>
      <c r="DA34" s="894"/>
      <c r="DB34" s="894"/>
      <c r="DC34" s="894"/>
      <c r="DD34" s="894"/>
      <c r="DE34" s="894"/>
      <c r="DF34" s="894"/>
      <c r="DG34" s="894"/>
      <c r="DH34" s="407"/>
      <c r="DI34" s="897"/>
      <c r="DJ34" s="898"/>
      <c r="DK34" s="900"/>
      <c r="DL34" s="900"/>
      <c r="DM34" s="900"/>
      <c r="DN34" s="900"/>
      <c r="DO34" s="1201"/>
      <c r="DP34" s="1202"/>
      <c r="DQ34" s="1202"/>
      <c r="DR34" s="1202"/>
      <c r="DS34" s="1202"/>
      <c r="DT34" s="1202"/>
      <c r="DU34" s="1203"/>
      <c r="DV34" s="1188" t="str">
        <f>IF('07nen'!$O$8="甲欄",IF('07nen'!$J$16="","",IF('07nen'!$X$42&gt;0,'07nen'!$K$38,"")),"")</f>
        <v/>
      </c>
      <c r="DW34" s="1189"/>
      <c r="DX34" s="1189"/>
      <c r="DY34" s="1189"/>
      <c r="DZ34" s="1189"/>
      <c r="EA34" s="1189"/>
      <c r="EB34" s="1190"/>
      <c r="EC34" s="1186"/>
      <c r="ED34" s="1111"/>
      <c r="EE34" s="1111"/>
      <c r="EF34" s="1111"/>
      <c r="EG34" s="1111"/>
      <c r="EH34" s="1111"/>
      <c r="EI34" s="1112"/>
      <c r="EJ34" s="1188" t="str">
        <f>IF('07nen'!$O$8="甲欄",IF('07nen'!$P$54="","",'07nen'!$P$54),"")</f>
        <v/>
      </c>
      <c r="EK34" s="1189"/>
      <c r="EL34" s="1189"/>
      <c r="EM34" s="1189"/>
      <c r="EN34" s="1189"/>
      <c r="EO34" s="1189"/>
      <c r="EP34" s="1190"/>
      <c r="EQ34" s="1186"/>
      <c r="ER34" s="1111"/>
      <c r="ES34" s="1111"/>
      <c r="ET34" s="1111"/>
      <c r="EU34" s="1111"/>
      <c r="EV34" s="1111"/>
      <c r="EW34" s="1112"/>
      <c r="EX34" s="1194" t="str">
        <f>IF('07nen'!$O$8="甲欄",IF('07nen'!$P$52="","",'07nen'!$P$52),"")</f>
        <v/>
      </c>
      <c r="EY34" s="1195"/>
      <c r="EZ34" s="1195"/>
      <c r="FA34" s="1195"/>
      <c r="FB34" s="1195"/>
      <c r="FC34" s="1195"/>
      <c r="FD34" s="1196"/>
      <c r="FE34" s="126"/>
      <c r="FF34" s="196"/>
      <c r="FG34" s="196"/>
    </row>
    <row r="35" spans="1:163" s="195" customFormat="1" ht="12.6" customHeight="1" thickBot="1">
      <c r="A35" s="98"/>
      <c r="B35" s="194"/>
      <c r="C35" s="194"/>
      <c r="D35" s="194"/>
      <c r="E35" s="194"/>
      <c r="F35" s="937"/>
      <c r="G35" s="938"/>
      <c r="H35" s="938"/>
      <c r="I35" s="939"/>
      <c r="J35" s="755" t="s">
        <v>66</v>
      </c>
      <c r="K35" s="753"/>
      <c r="L35" s="753"/>
      <c r="M35" s="754"/>
      <c r="N35" s="408"/>
      <c r="O35" s="877" t="str">
        <f>IF('07nen'!$D$16="","",IF($X$35="","",'07nen'!$D$16))</f>
        <v/>
      </c>
      <c r="P35" s="877"/>
      <c r="Q35" s="877"/>
      <c r="R35" s="877"/>
      <c r="S35" s="877"/>
      <c r="T35" s="877"/>
      <c r="U35" s="877"/>
      <c r="V35" s="408"/>
      <c r="W35" s="408"/>
      <c r="X35" s="877" t="str">
        <f>IF('07nen'!$Q$16="対象",IF('07nen'!$E$16="","",'07nen'!$E$16),IF('07nen'!$Q$16="源泉",IF('07nen'!$E$16="","",'07nen'!$E$16),(IF('07nen'!$P$34&gt;0,IF('07nen'!$E$16="","",'07nen'!$E$16),""))))</f>
        <v/>
      </c>
      <c r="Y35" s="877"/>
      <c r="Z35" s="877"/>
      <c r="AA35" s="877"/>
      <c r="AB35" s="877"/>
      <c r="AC35" s="877"/>
      <c r="AD35" s="877"/>
      <c r="AE35" s="408"/>
      <c r="AF35" s="897"/>
      <c r="AG35" s="898"/>
      <c r="AH35" s="900"/>
      <c r="AI35" s="900"/>
      <c r="AJ35" s="900"/>
      <c r="AK35" s="900"/>
      <c r="AL35" s="903"/>
      <c r="AM35" s="903"/>
      <c r="AN35" s="903"/>
      <c r="AO35" s="903"/>
      <c r="AP35" s="903"/>
      <c r="AQ35" s="903"/>
      <c r="AR35" s="904"/>
      <c r="AS35" s="880"/>
      <c r="AT35" s="881"/>
      <c r="AU35" s="881"/>
      <c r="AV35" s="881"/>
      <c r="AW35" s="881"/>
      <c r="AX35" s="881"/>
      <c r="AY35" s="882"/>
      <c r="AZ35" s="878"/>
      <c r="BA35" s="859"/>
      <c r="BB35" s="859"/>
      <c r="BC35" s="859"/>
      <c r="BD35" s="859"/>
      <c r="BE35" s="859"/>
      <c r="BF35" s="859"/>
      <c r="BG35" s="886"/>
      <c r="BH35" s="886"/>
      <c r="BI35" s="886"/>
      <c r="BJ35" s="886"/>
      <c r="BK35" s="886"/>
      <c r="BL35" s="886"/>
      <c r="BM35" s="886"/>
      <c r="BN35" s="859"/>
      <c r="BO35" s="859"/>
      <c r="BP35" s="859"/>
      <c r="BQ35" s="859"/>
      <c r="BR35" s="859"/>
      <c r="BS35" s="859"/>
      <c r="BT35" s="860"/>
      <c r="BU35" s="890"/>
      <c r="BV35" s="891"/>
      <c r="BW35" s="891"/>
      <c r="BX35" s="891"/>
      <c r="BY35" s="891"/>
      <c r="BZ35" s="891"/>
      <c r="CA35" s="892"/>
      <c r="CB35" s="118"/>
      <c r="CG35" s="196"/>
      <c r="CH35" s="196"/>
      <c r="CI35" s="752"/>
      <c r="CJ35" s="938"/>
      <c r="CK35" s="938"/>
      <c r="CL35" s="1235"/>
      <c r="CM35" s="755" t="s">
        <v>66</v>
      </c>
      <c r="CN35" s="753"/>
      <c r="CO35" s="753"/>
      <c r="CP35" s="754"/>
      <c r="CQ35" s="408"/>
      <c r="CR35" s="877" t="str">
        <f>IF('07nen'!$D$16="","",IF($X$35="","",'07nen'!$D$16))</f>
        <v/>
      </c>
      <c r="CS35" s="877"/>
      <c r="CT35" s="877"/>
      <c r="CU35" s="877"/>
      <c r="CV35" s="877"/>
      <c r="CW35" s="877"/>
      <c r="CX35" s="877"/>
      <c r="CY35" s="408"/>
      <c r="CZ35" s="408"/>
      <c r="DA35" s="877" t="str">
        <f>IF('07nen'!$Q$16="対象",IF('07nen'!$E$16="","",'07nen'!$E$16),IF('07nen'!$Q$16="源泉",IF('07nen'!$E$16="","",'07nen'!$E$16),(IF('07nen'!$P$34&gt;0,IF('07nen'!$E$16="","",'07nen'!$E$16),""))))</f>
        <v/>
      </c>
      <c r="DB35" s="877"/>
      <c r="DC35" s="877"/>
      <c r="DD35" s="877"/>
      <c r="DE35" s="877"/>
      <c r="DF35" s="877"/>
      <c r="DG35" s="877"/>
      <c r="DH35" s="408"/>
      <c r="DI35" s="897"/>
      <c r="DJ35" s="898"/>
      <c r="DK35" s="900"/>
      <c r="DL35" s="900"/>
      <c r="DM35" s="900"/>
      <c r="DN35" s="900"/>
      <c r="DO35" s="1201"/>
      <c r="DP35" s="1202"/>
      <c r="DQ35" s="1202"/>
      <c r="DR35" s="1202"/>
      <c r="DS35" s="1202"/>
      <c r="DT35" s="1202"/>
      <c r="DU35" s="1203"/>
      <c r="DV35" s="1188"/>
      <c r="DW35" s="1189"/>
      <c r="DX35" s="1189"/>
      <c r="DY35" s="1189"/>
      <c r="DZ35" s="1189"/>
      <c r="EA35" s="1189"/>
      <c r="EB35" s="1190"/>
      <c r="EC35" s="1187"/>
      <c r="ED35" s="1152"/>
      <c r="EE35" s="1152"/>
      <c r="EF35" s="1152"/>
      <c r="EG35" s="1152"/>
      <c r="EH35" s="1152"/>
      <c r="EI35" s="1153"/>
      <c r="EJ35" s="1191"/>
      <c r="EK35" s="1192"/>
      <c r="EL35" s="1192"/>
      <c r="EM35" s="1192"/>
      <c r="EN35" s="1192"/>
      <c r="EO35" s="1192"/>
      <c r="EP35" s="1193"/>
      <c r="EQ35" s="1187"/>
      <c r="ER35" s="1152"/>
      <c r="ES35" s="1152"/>
      <c r="ET35" s="1152"/>
      <c r="EU35" s="1152"/>
      <c r="EV35" s="1152"/>
      <c r="EW35" s="1153"/>
      <c r="EX35" s="1197"/>
      <c r="EY35" s="1168"/>
      <c r="EZ35" s="1168"/>
      <c r="FA35" s="1168"/>
      <c r="FB35" s="1168"/>
      <c r="FC35" s="1168"/>
      <c r="FD35" s="1169"/>
      <c r="FE35" s="126"/>
      <c r="FF35" s="196"/>
      <c r="FG35" s="196"/>
    </row>
    <row r="36" spans="1:163" ht="12.6" customHeight="1">
      <c r="A36" s="98"/>
      <c r="B36" s="100"/>
      <c r="C36" s="100"/>
      <c r="D36" s="100"/>
      <c r="E36" s="100"/>
      <c r="F36" s="937"/>
      <c r="G36" s="938"/>
      <c r="H36" s="938"/>
      <c r="I36" s="939"/>
      <c r="J36" s="756"/>
      <c r="K36" s="757"/>
      <c r="L36" s="757"/>
      <c r="M36" s="758"/>
      <c r="N36" s="124"/>
      <c r="O36" s="877"/>
      <c r="P36" s="877"/>
      <c r="Q36" s="877"/>
      <c r="R36" s="877"/>
      <c r="S36" s="877"/>
      <c r="T36" s="877"/>
      <c r="U36" s="877"/>
      <c r="V36" s="124"/>
      <c r="W36" s="124"/>
      <c r="X36" s="877"/>
      <c r="Y36" s="877"/>
      <c r="Z36" s="877"/>
      <c r="AA36" s="877"/>
      <c r="AB36" s="877"/>
      <c r="AC36" s="877"/>
      <c r="AD36" s="877"/>
      <c r="AE36" s="124"/>
      <c r="AF36" s="898"/>
      <c r="AG36" s="898"/>
      <c r="AH36" s="900"/>
      <c r="AI36" s="900"/>
      <c r="AJ36" s="900"/>
      <c r="AK36" s="900"/>
      <c r="AL36" s="903"/>
      <c r="AM36" s="903"/>
      <c r="AN36" s="903"/>
      <c r="AO36" s="903"/>
      <c r="AP36" s="903"/>
      <c r="AQ36" s="903"/>
      <c r="AR36" s="904"/>
      <c r="AS36" s="880"/>
      <c r="AT36" s="881"/>
      <c r="AU36" s="881"/>
      <c r="AV36" s="881"/>
      <c r="AW36" s="881"/>
      <c r="AX36" s="881"/>
      <c r="AY36" s="882"/>
      <c r="AZ36" s="831" t="s">
        <v>348</v>
      </c>
      <c r="BA36" s="858"/>
      <c r="BB36" s="858"/>
      <c r="BC36" s="858"/>
      <c r="BD36" s="858"/>
      <c r="BE36" s="858"/>
      <c r="BF36" s="858"/>
      <c r="BL36" s="832" t="s">
        <v>50</v>
      </c>
      <c r="BM36" s="832"/>
      <c r="BN36" s="858" t="s">
        <v>347</v>
      </c>
      <c r="BO36" s="858"/>
      <c r="BP36" s="858"/>
      <c r="BQ36" s="858"/>
      <c r="BR36" s="858"/>
      <c r="BS36" s="858"/>
      <c r="BT36" s="858"/>
      <c r="BZ36" s="832" t="s">
        <v>50</v>
      </c>
      <c r="CA36" s="879"/>
      <c r="CB36" s="118"/>
      <c r="CG36" s="121"/>
      <c r="CH36" s="121"/>
      <c r="CI36" s="752"/>
      <c r="CJ36" s="938"/>
      <c r="CK36" s="938"/>
      <c r="CL36" s="1235"/>
      <c r="CM36" s="756"/>
      <c r="CN36" s="757"/>
      <c r="CO36" s="757"/>
      <c r="CP36" s="758"/>
      <c r="CQ36" s="124"/>
      <c r="CR36" s="877"/>
      <c r="CS36" s="877"/>
      <c r="CT36" s="877"/>
      <c r="CU36" s="877"/>
      <c r="CV36" s="877"/>
      <c r="CW36" s="877"/>
      <c r="CX36" s="877"/>
      <c r="CY36" s="124"/>
      <c r="CZ36" s="124"/>
      <c r="DA36" s="877"/>
      <c r="DB36" s="877"/>
      <c r="DC36" s="877"/>
      <c r="DD36" s="877"/>
      <c r="DE36" s="877"/>
      <c r="DF36" s="877"/>
      <c r="DG36" s="877"/>
      <c r="DH36" s="124"/>
      <c r="DI36" s="898"/>
      <c r="DJ36" s="898"/>
      <c r="DK36" s="900"/>
      <c r="DL36" s="900"/>
      <c r="DM36" s="900"/>
      <c r="DN36" s="900"/>
      <c r="DO36" s="1201"/>
      <c r="DP36" s="1202"/>
      <c r="DQ36" s="1202"/>
      <c r="DR36" s="1202"/>
      <c r="DS36" s="1202"/>
      <c r="DT36" s="1202"/>
      <c r="DU36" s="1203"/>
      <c r="DV36" s="1188"/>
      <c r="DW36" s="1189"/>
      <c r="DX36" s="1189"/>
      <c r="DY36" s="1189"/>
      <c r="DZ36" s="1189"/>
      <c r="EA36" s="1189"/>
      <c r="EB36" s="1190"/>
      <c r="EC36" s="1170" t="s">
        <v>348</v>
      </c>
      <c r="ED36" s="1171"/>
      <c r="EE36" s="1171"/>
      <c r="EF36" s="1171"/>
      <c r="EG36" s="1171"/>
      <c r="EH36" s="1171"/>
      <c r="EI36" s="1172"/>
      <c r="EJ36" s="234"/>
      <c r="EO36" s="1139" t="s">
        <v>50</v>
      </c>
      <c r="EP36" s="1140"/>
      <c r="EQ36" s="1170" t="s">
        <v>347</v>
      </c>
      <c r="ER36" s="1171"/>
      <c r="ES36" s="1171"/>
      <c r="ET36" s="1171"/>
      <c r="EU36" s="1171"/>
      <c r="EV36" s="1171"/>
      <c r="EW36" s="1172"/>
      <c r="EX36" s="234"/>
      <c r="FC36" s="1139" t="s">
        <v>50</v>
      </c>
      <c r="FD36" s="1140"/>
      <c r="FE36" s="126"/>
      <c r="FF36" s="121"/>
      <c r="FG36" s="121"/>
    </row>
    <row r="37" spans="1:163" ht="24.75" thickBot="1">
      <c r="A37" s="74"/>
      <c r="B37" s="100"/>
      <c r="C37" s="100"/>
      <c r="D37" s="100"/>
      <c r="E37" s="100"/>
      <c r="F37" s="940"/>
      <c r="G37" s="941"/>
      <c r="H37" s="941"/>
      <c r="I37" s="942"/>
      <c r="J37" s="936" t="s">
        <v>219</v>
      </c>
      <c r="K37" s="936"/>
      <c r="L37" s="936"/>
      <c r="M37" s="936"/>
      <c r="N37" s="905" t="str">
        <f>IF('07nen'!$H$16="","",IF(X35="","",MIDB('07nen'!$H$16+1000000000000,2,1)))</f>
        <v/>
      </c>
      <c r="O37" s="905"/>
      <c r="P37" s="905" t="str">
        <f>IF($N$37="","",(MIDB('07nen'!$H$16+1000000000000,3,1)))</f>
        <v/>
      </c>
      <c r="Q37" s="905"/>
      <c r="R37" s="905" t="str">
        <f>IF($N$37="","",(MIDB('07nen'!$H$16+1000000000000,4,1)))</f>
        <v/>
      </c>
      <c r="S37" s="905"/>
      <c r="T37" s="905" t="str">
        <f>IF($N$37="","",(MIDB('07nen'!$H$16+1000000000000,5,1)))</f>
        <v/>
      </c>
      <c r="U37" s="905"/>
      <c r="V37" s="905" t="str">
        <f>IF($N$37="","",(MIDB('07nen'!$H$16+1000000000000,6,1)))</f>
        <v/>
      </c>
      <c r="W37" s="905"/>
      <c r="X37" s="905" t="str">
        <f>IF($N$37="","",(MIDB('07nen'!$H$16+1000000000000,7,1)))</f>
        <v/>
      </c>
      <c r="Y37" s="905"/>
      <c r="Z37" s="905" t="str">
        <f>IF($N$37="","",(MIDB('07nen'!$H$16+1000000000000,8,1)))</f>
        <v/>
      </c>
      <c r="AA37" s="905"/>
      <c r="AB37" s="905" t="str">
        <f>IF($N$37="","",(MIDB('07nen'!$H$16+1000000000000,9,1)))</f>
        <v/>
      </c>
      <c r="AC37" s="905"/>
      <c r="AD37" s="905" t="str">
        <f>IF($N$37="","",(MIDB('07nen'!$H$16+1000000000000,10,1)))</f>
        <v/>
      </c>
      <c r="AE37" s="928"/>
      <c r="AF37" s="905" t="str">
        <f>IF($N$37="","",(MIDB('07nen'!$H$16+1000000000000,11,1)))</f>
        <v/>
      </c>
      <c r="AG37" s="905"/>
      <c r="AH37" s="905" t="str">
        <f>IF($N$37="","",(MIDB('07nen'!$H$16+1000000000000,12,1)))</f>
        <v/>
      </c>
      <c r="AI37" s="905"/>
      <c r="AJ37" s="905" t="str">
        <f>IF($N$37="","",(MIDB('07nen'!$H$16+1000000000000,13,1)))</f>
        <v/>
      </c>
      <c r="AK37" s="905"/>
      <c r="AL37" s="903"/>
      <c r="AM37" s="903"/>
      <c r="AN37" s="903"/>
      <c r="AO37" s="903"/>
      <c r="AP37" s="903"/>
      <c r="AQ37" s="903"/>
      <c r="AR37" s="904"/>
      <c r="AS37" s="883"/>
      <c r="AT37" s="884"/>
      <c r="AU37" s="884"/>
      <c r="AV37" s="884"/>
      <c r="AW37" s="884"/>
      <c r="AX37" s="884"/>
      <c r="AY37" s="885"/>
      <c r="AZ37" s="878"/>
      <c r="BA37" s="859"/>
      <c r="BB37" s="859"/>
      <c r="BC37" s="859"/>
      <c r="BD37" s="859"/>
      <c r="BE37" s="859"/>
      <c r="BF37" s="859"/>
      <c r="BG37" s="886">
        <f>IF('07nen'!$O$8="甲欄",IF('07nen'!$P$31="","",IF('07nen'!$P$31=480000,"",'07nen'!$P$31)),"")</f>
        <v>950000</v>
      </c>
      <c r="BH37" s="886"/>
      <c r="BI37" s="886"/>
      <c r="BJ37" s="886"/>
      <c r="BK37" s="886"/>
      <c r="BL37" s="886"/>
      <c r="BM37" s="886"/>
      <c r="BN37" s="859"/>
      <c r="BO37" s="859"/>
      <c r="BP37" s="859"/>
      <c r="BQ37" s="859"/>
      <c r="BR37" s="859"/>
      <c r="BS37" s="859"/>
      <c r="BT37" s="859"/>
      <c r="BU37" s="906" t="str">
        <f>IF('07nen'!$O$8="甲欄",IF('07nen'!$X$35="","",'07nen'!$X$35),"")</f>
        <v/>
      </c>
      <c r="BV37" s="906"/>
      <c r="BW37" s="906"/>
      <c r="BX37" s="906"/>
      <c r="BY37" s="906"/>
      <c r="BZ37" s="906"/>
      <c r="CA37" s="907"/>
      <c r="CB37" s="118"/>
      <c r="CG37" s="121"/>
      <c r="CH37" s="121"/>
      <c r="CI37" s="1236"/>
      <c r="CJ37" s="1237"/>
      <c r="CK37" s="1237"/>
      <c r="CL37" s="1238"/>
      <c r="CM37" s="1207"/>
      <c r="CN37" s="1208"/>
      <c r="CO37" s="1208"/>
      <c r="CP37" s="1208"/>
      <c r="CQ37" s="1208"/>
      <c r="CR37" s="1208"/>
      <c r="CS37" s="1208"/>
      <c r="CT37" s="1208"/>
      <c r="CU37" s="1208"/>
      <c r="CV37" s="1208"/>
      <c r="CW37" s="1208"/>
      <c r="CX37" s="1208"/>
      <c r="CY37" s="1208"/>
      <c r="CZ37" s="1208"/>
      <c r="DA37" s="1208"/>
      <c r="DB37" s="1208"/>
      <c r="DC37" s="1208"/>
      <c r="DD37" s="1208"/>
      <c r="DE37" s="1208"/>
      <c r="DF37" s="1208"/>
      <c r="DG37" s="1208"/>
      <c r="DH37" s="1208"/>
      <c r="DI37" s="1208"/>
      <c r="DJ37" s="1208"/>
      <c r="DK37" s="1208"/>
      <c r="DL37" s="1208"/>
      <c r="DM37" s="1208"/>
      <c r="DN37" s="1209"/>
      <c r="DO37" s="1204"/>
      <c r="DP37" s="1205"/>
      <c r="DQ37" s="1205"/>
      <c r="DR37" s="1205"/>
      <c r="DS37" s="1205"/>
      <c r="DT37" s="1205"/>
      <c r="DU37" s="1206"/>
      <c r="DV37" s="1191"/>
      <c r="DW37" s="1192"/>
      <c r="DX37" s="1192"/>
      <c r="DY37" s="1192"/>
      <c r="DZ37" s="1192"/>
      <c r="EA37" s="1192"/>
      <c r="EB37" s="1193"/>
      <c r="EC37" s="1151"/>
      <c r="ED37" s="1152"/>
      <c r="EE37" s="1152"/>
      <c r="EF37" s="1152"/>
      <c r="EG37" s="1152"/>
      <c r="EH37" s="1152"/>
      <c r="EI37" s="1153"/>
      <c r="EJ37" s="1210">
        <f>IF('07nen'!$O$8="甲欄",IF('07nen'!$P$31="","",IF('07nen'!$P$31=480000,"",'07nen'!$P$31)),"")</f>
        <v>950000</v>
      </c>
      <c r="EK37" s="1192"/>
      <c r="EL37" s="1192"/>
      <c r="EM37" s="1192"/>
      <c r="EN37" s="1192"/>
      <c r="EO37" s="1192"/>
      <c r="EP37" s="1193"/>
      <c r="EQ37" s="1151"/>
      <c r="ER37" s="1152"/>
      <c r="ES37" s="1152"/>
      <c r="ET37" s="1152"/>
      <c r="EU37" s="1152"/>
      <c r="EV37" s="1152"/>
      <c r="EW37" s="1153"/>
      <c r="EX37" s="1167" t="str">
        <f>IF('07nen'!$O$8="甲欄",IF('07nen'!$X$35="","",'07nen'!$X$35),"")</f>
        <v/>
      </c>
      <c r="EY37" s="1168"/>
      <c r="EZ37" s="1168"/>
      <c r="FA37" s="1168"/>
      <c r="FB37" s="1168"/>
      <c r="FC37" s="1168"/>
      <c r="FD37" s="1169"/>
      <c r="FE37" s="126"/>
      <c r="FF37" s="121"/>
      <c r="FG37" s="121"/>
    </row>
    <row r="38" spans="1:163" ht="23.45" customHeight="1">
      <c r="A38" s="74"/>
      <c r="B38" s="100"/>
      <c r="C38" s="100"/>
      <c r="D38" s="100"/>
      <c r="E38" s="100"/>
      <c r="F38" s="908" t="s">
        <v>225</v>
      </c>
      <c r="G38" s="909"/>
      <c r="H38" s="910"/>
      <c r="I38" s="917">
        <v>1</v>
      </c>
      <c r="J38" s="920" t="s">
        <v>221</v>
      </c>
      <c r="K38" s="921"/>
      <c r="L38" s="921"/>
      <c r="M38" s="920"/>
      <c r="N38" s="409"/>
      <c r="O38" s="922" t="str">
        <f>IF(OR('07nen'!$R$17&gt;0,'07nen'!$Q$17="対象"),IF('07nen'!$F$17="","",'07nen'!$F$17),"")</f>
        <v/>
      </c>
      <c r="P38" s="922"/>
      <c r="Q38" s="922"/>
      <c r="R38" s="922"/>
      <c r="S38" s="922"/>
      <c r="T38" s="922"/>
      <c r="U38" s="922"/>
      <c r="V38" s="410"/>
      <c r="W38" s="410"/>
      <c r="X38" s="922" t="str">
        <f>IF(OR('07nen'!$R$17&gt;0,'07nen'!$Q$17="対象"),IF('07nen'!$G$17="","",'07nen'!$G$17),"")</f>
        <v/>
      </c>
      <c r="Y38" s="922"/>
      <c r="Z38" s="922"/>
      <c r="AA38" s="922"/>
      <c r="AB38" s="922"/>
      <c r="AC38" s="922"/>
      <c r="AD38" s="922"/>
      <c r="AE38" s="411"/>
      <c r="AF38" s="923" t="s">
        <v>220</v>
      </c>
      <c r="AG38" s="924"/>
      <c r="AH38" s="926" t="str">
        <f>IF(OR('07nen'!$R$17&gt;0,'07nen'!$Q$17="対象"),IF(AND('07nen'!$R$17=0,'07nen'!$P$17="－"),"",MAX('07nen'!$R$17,'07nen'!$P$17)),"")</f>
        <v/>
      </c>
      <c r="AI38" s="926"/>
      <c r="AJ38" s="926"/>
      <c r="AK38" s="926"/>
      <c r="AL38" s="908" t="s">
        <v>226</v>
      </c>
      <c r="AM38" s="909"/>
      <c r="AN38" s="910"/>
      <c r="AO38" s="935">
        <v>1</v>
      </c>
      <c r="AP38" s="920" t="s">
        <v>221</v>
      </c>
      <c r="AQ38" s="920"/>
      <c r="AR38" s="920"/>
      <c r="AS38" s="944"/>
      <c r="AT38" s="412"/>
      <c r="AU38" s="894" t="str">
        <f>IF('07nen'!$Q$23="対象",IF('07nen'!$F$23="","",'07nen'!$F$23),"")</f>
        <v/>
      </c>
      <c r="AV38" s="894"/>
      <c r="AW38" s="894"/>
      <c r="AX38" s="894"/>
      <c r="AY38" s="894"/>
      <c r="AZ38" s="922"/>
      <c r="BA38" s="922"/>
      <c r="BB38" s="410"/>
      <c r="BC38" s="410"/>
      <c r="BD38" s="922" t="str">
        <f>IF('07nen'!$Q$23="対象",IF('07nen'!$G$23="","",'07nen'!$G$23),"")</f>
        <v/>
      </c>
      <c r="BE38" s="922"/>
      <c r="BF38" s="922"/>
      <c r="BG38" s="922"/>
      <c r="BH38" s="922"/>
      <c r="BI38" s="922"/>
      <c r="BJ38" s="922"/>
      <c r="BK38" s="411"/>
      <c r="BL38" s="923" t="s">
        <v>220</v>
      </c>
      <c r="BM38" s="924"/>
      <c r="BN38" s="926" t="str">
        <f>IF('07nen'!$Q$23="対象",IF('07nen'!$P$23="－","",'07nen'!$P$23),"")</f>
        <v/>
      </c>
      <c r="BO38" s="926"/>
      <c r="BP38" s="926"/>
      <c r="BQ38" s="926"/>
      <c r="BR38" s="946" t="s">
        <v>352</v>
      </c>
      <c r="BS38" s="947"/>
      <c r="BT38" s="947"/>
      <c r="BU38" s="947"/>
      <c r="BV38" s="947"/>
      <c r="BW38" s="947"/>
      <c r="BX38" s="947"/>
      <c r="BY38" s="947"/>
      <c r="BZ38" s="947"/>
      <c r="CA38" s="948"/>
      <c r="CB38" s="118"/>
      <c r="CG38" s="121"/>
      <c r="CH38" s="121"/>
      <c r="CI38" s="1220" t="s">
        <v>225</v>
      </c>
      <c r="CJ38" s="1221"/>
      <c r="CK38" s="1222"/>
      <c r="CL38" s="1229">
        <v>1</v>
      </c>
      <c r="CM38" s="920" t="s">
        <v>221</v>
      </c>
      <c r="CN38" s="921"/>
      <c r="CO38" s="921"/>
      <c r="CP38" s="920"/>
      <c r="CQ38" s="409"/>
      <c r="CR38" s="922" t="str">
        <f>IF(OR('07nen'!$R$17&gt;0,'07nen'!$Q$17="対象"),IF('07nen'!$F$17="","",'07nen'!$F$17),"")</f>
        <v/>
      </c>
      <c r="CS38" s="922"/>
      <c r="CT38" s="922"/>
      <c r="CU38" s="922"/>
      <c r="CV38" s="922"/>
      <c r="CW38" s="922"/>
      <c r="CX38" s="922"/>
      <c r="CY38" s="410"/>
      <c r="CZ38" s="410"/>
      <c r="DA38" s="922" t="str">
        <f>IF(OR('07nen'!$R$17&gt;0,'07nen'!$Q$17="対象"),IF('07nen'!$G$17="","",'07nen'!$G$17),"")</f>
        <v/>
      </c>
      <c r="DB38" s="922"/>
      <c r="DC38" s="922"/>
      <c r="DD38" s="922"/>
      <c r="DE38" s="922"/>
      <c r="DF38" s="922"/>
      <c r="DG38" s="922"/>
      <c r="DH38" s="411"/>
      <c r="DI38" s="923" t="s">
        <v>220</v>
      </c>
      <c r="DJ38" s="924"/>
      <c r="DK38" s="926" t="str">
        <f>IF(OR('07nen'!$R$17&gt;0,'07nen'!$Q$17="対象"),IF(AND('07nen'!$R$17=0,'07nen'!$P$17="－"),"",MAX('07nen'!$R$17,'07nen'!$P$17)),"")</f>
        <v/>
      </c>
      <c r="DL38" s="926"/>
      <c r="DM38" s="926"/>
      <c r="DN38" s="926"/>
      <c r="DO38" s="1220" t="s">
        <v>226</v>
      </c>
      <c r="DP38" s="1221"/>
      <c r="DQ38" s="1222"/>
      <c r="DR38" s="1229">
        <v>1</v>
      </c>
      <c r="DS38" s="920" t="s">
        <v>221</v>
      </c>
      <c r="DT38" s="920"/>
      <c r="DU38" s="920"/>
      <c r="DV38" s="944"/>
      <c r="DW38" s="412"/>
      <c r="DX38" s="894" t="str">
        <f>IF('07nen'!$Q$23="対象",IF('07nen'!$F$23="","",'07nen'!$F$23),"")</f>
        <v/>
      </c>
      <c r="DY38" s="894"/>
      <c r="DZ38" s="894"/>
      <c r="EA38" s="894"/>
      <c r="EB38" s="894"/>
      <c r="EC38" s="922"/>
      <c r="ED38" s="922"/>
      <c r="EE38" s="410"/>
      <c r="EF38" s="410"/>
      <c r="EG38" s="922" t="str">
        <f>IF('07nen'!$Q$23="対象",IF('07nen'!$G$23="","",'07nen'!$G$23),"")</f>
        <v/>
      </c>
      <c r="EH38" s="922"/>
      <c r="EI38" s="922"/>
      <c r="EJ38" s="922"/>
      <c r="EK38" s="922"/>
      <c r="EL38" s="922"/>
      <c r="EM38" s="922"/>
      <c r="EN38" s="411"/>
      <c r="EO38" s="923" t="s">
        <v>220</v>
      </c>
      <c r="EP38" s="924"/>
      <c r="EQ38" s="926" t="str">
        <f>IF('07nen'!$Q$23="対象",IF('07nen'!$P$23="－","",'07nen'!$P$23),"")</f>
        <v/>
      </c>
      <c r="ER38" s="926"/>
      <c r="ES38" s="926"/>
      <c r="ET38" s="926"/>
      <c r="EU38" s="1211"/>
      <c r="EV38" s="1212"/>
      <c r="EW38" s="1212"/>
      <c r="EX38" s="1212"/>
      <c r="EY38" s="1212"/>
      <c r="EZ38" s="1212"/>
      <c r="FA38" s="1212"/>
      <c r="FB38" s="1212"/>
      <c r="FC38" s="1212"/>
      <c r="FD38" s="1213"/>
      <c r="FE38" s="126"/>
      <c r="FF38" s="121"/>
      <c r="FG38" s="121"/>
    </row>
    <row r="39" spans="1:163" ht="23.45" customHeight="1">
      <c r="A39" s="74"/>
      <c r="B39" s="100"/>
      <c r="C39" s="100"/>
      <c r="D39" s="100"/>
      <c r="E39" s="100"/>
      <c r="F39" s="911"/>
      <c r="G39" s="912"/>
      <c r="H39" s="913"/>
      <c r="I39" s="918"/>
      <c r="J39" s="753" t="s">
        <v>66</v>
      </c>
      <c r="K39" s="753"/>
      <c r="L39" s="753"/>
      <c r="M39" s="753"/>
      <c r="N39" s="413"/>
      <c r="O39" s="877" t="str">
        <f>IF(OR('07nen'!$R$17&gt;0,'07nen'!$Q$17="対象"),IF('07nen'!$D$17="","",'07nen'!$D$17),"")</f>
        <v/>
      </c>
      <c r="P39" s="877"/>
      <c r="Q39" s="877"/>
      <c r="R39" s="877"/>
      <c r="S39" s="877"/>
      <c r="T39" s="877"/>
      <c r="U39" s="877"/>
      <c r="V39" s="125"/>
      <c r="W39" s="125"/>
      <c r="X39" s="877" t="str">
        <f>IF(OR('07nen'!$R$17&gt;0,'07nen'!$Q$17="対象"),IF('07nen'!$E$17="","",'07nen'!$E$17),"")</f>
        <v/>
      </c>
      <c r="Y39" s="877"/>
      <c r="Z39" s="877"/>
      <c r="AA39" s="877"/>
      <c r="AB39" s="877"/>
      <c r="AC39" s="877"/>
      <c r="AD39" s="877"/>
      <c r="AE39" s="404"/>
      <c r="AF39" s="925"/>
      <c r="AG39" s="925"/>
      <c r="AH39" s="927"/>
      <c r="AI39" s="927"/>
      <c r="AJ39" s="926"/>
      <c r="AK39" s="926"/>
      <c r="AL39" s="911"/>
      <c r="AM39" s="912"/>
      <c r="AN39" s="913"/>
      <c r="AO39" s="935"/>
      <c r="AP39" s="753" t="s">
        <v>66</v>
      </c>
      <c r="AQ39" s="753"/>
      <c r="AR39" s="753"/>
      <c r="AS39" s="753"/>
      <c r="AT39" s="413"/>
      <c r="AU39" s="877" t="str">
        <f>IF('07nen'!$Q$23="対象",IF('07nen'!$D$23="","",'07nen'!$D$23),"")</f>
        <v/>
      </c>
      <c r="AV39" s="877"/>
      <c r="AW39" s="877"/>
      <c r="AX39" s="877"/>
      <c r="AY39" s="877"/>
      <c r="AZ39" s="877"/>
      <c r="BA39" s="877"/>
      <c r="BB39" s="125"/>
      <c r="BC39" s="125"/>
      <c r="BD39" s="877" t="str">
        <f>IF('07nen'!$Q$23="対象",IF('07nen'!$E$23="","",'07nen'!$E$23),"")</f>
        <v/>
      </c>
      <c r="BE39" s="877"/>
      <c r="BF39" s="877"/>
      <c r="BG39" s="877"/>
      <c r="BH39" s="877"/>
      <c r="BI39" s="877"/>
      <c r="BJ39" s="877"/>
      <c r="BK39" s="404"/>
      <c r="BL39" s="924"/>
      <c r="BM39" s="924"/>
      <c r="BN39" s="926"/>
      <c r="BO39" s="926"/>
      <c r="BP39" s="926"/>
      <c r="BQ39" s="926"/>
      <c r="BR39" s="932" t="str">
        <f>IF('07nen'!$AB$41="","",IF('07nen'!$E$61="","",IF(OR('07nen'!$R$61&gt;0,'07nen'!$Q$61="対象"),"("&amp;'07nen'!$AA$41&amp;") "&amp;RIGHTB('07nen'!$H$61+10000000000000,12))))</f>
        <v/>
      </c>
      <c r="BS39" s="933"/>
      <c r="BT39" s="933"/>
      <c r="BU39" s="933"/>
      <c r="BV39" s="933"/>
      <c r="BW39" s="933"/>
      <c r="BX39" s="933"/>
      <c r="BY39" s="933"/>
      <c r="BZ39" s="933"/>
      <c r="CA39" s="934"/>
      <c r="CB39" s="118"/>
      <c r="CG39" s="121"/>
      <c r="CH39" s="121"/>
      <c r="CI39" s="1223"/>
      <c r="CJ39" s="1224"/>
      <c r="CK39" s="1225"/>
      <c r="CL39" s="1230"/>
      <c r="CM39" s="753" t="s">
        <v>66</v>
      </c>
      <c r="CN39" s="753"/>
      <c r="CO39" s="753"/>
      <c r="CP39" s="753"/>
      <c r="CQ39" s="413"/>
      <c r="CR39" s="877" t="str">
        <f>IF(OR('07nen'!$R$17&gt;0,'07nen'!$Q$17="対象"),IF('07nen'!$D$17="","",'07nen'!$D$17),"")</f>
        <v/>
      </c>
      <c r="CS39" s="877"/>
      <c r="CT39" s="877"/>
      <c r="CU39" s="877"/>
      <c r="CV39" s="877"/>
      <c r="CW39" s="877"/>
      <c r="CX39" s="877"/>
      <c r="CY39" s="125"/>
      <c r="CZ39" s="125"/>
      <c r="DA39" s="877" t="str">
        <f>IF(OR('07nen'!$R$17&gt;0,'07nen'!$Q$17="対象"),IF('07nen'!$E$17="","",'07nen'!$E$17),"")</f>
        <v/>
      </c>
      <c r="DB39" s="877"/>
      <c r="DC39" s="877"/>
      <c r="DD39" s="877"/>
      <c r="DE39" s="877"/>
      <c r="DF39" s="877"/>
      <c r="DG39" s="877"/>
      <c r="DH39" s="404"/>
      <c r="DI39" s="925"/>
      <c r="DJ39" s="925"/>
      <c r="DK39" s="927"/>
      <c r="DL39" s="927"/>
      <c r="DM39" s="926"/>
      <c r="DN39" s="926"/>
      <c r="DO39" s="1223"/>
      <c r="DP39" s="1224"/>
      <c r="DQ39" s="1225"/>
      <c r="DR39" s="1230"/>
      <c r="DS39" s="753" t="s">
        <v>66</v>
      </c>
      <c r="DT39" s="753"/>
      <c r="DU39" s="753"/>
      <c r="DV39" s="753"/>
      <c r="DW39" s="413"/>
      <c r="DX39" s="877" t="str">
        <f>IF('07nen'!$Q$23="対象",IF('07nen'!$D$23="","",'07nen'!$D$23),"")</f>
        <v/>
      </c>
      <c r="DY39" s="877"/>
      <c r="DZ39" s="877"/>
      <c r="EA39" s="877"/>
      <c r="EB39" s="877"/>
      <c r="EC39" s="877"/>
      <c r="ED39" s="877"/>
      <c r="EE39" s="125"/>
      <c r="EF39" s="125"/>
      <c r="EG39" s="877" t="str">
        <f>IF('07nen'!$Q$23="対象",IF('07nen'!$E$23="","",'07nen'!$E$23),"")</f>
        <v/>
      </c>
      <c r="EH39" s="877"/>
      <c r="EI39" s="877"/>
      <c r="EJ39" s="877"/>
      <c r="EK39" s="877"/>
      <c r="EL39" s="877"/>
      <c r="EM39" s="877"/>
      <c r="EN39" s="404"/>
      <c r="EO39" s="924"/>
      <c r="EP39" s="924"/>
      <c r="EQ39" s="926"/>
      <c r="ER39" s="926"/>
      <c r="ES39" s="926"/>
      <c r="ET39" s="926"/>
      <c r="EU39" s="1214"/>
      <c r="EV39" s="1215"/>
      <c r="EW39" s="1215"/>
      <c r="EX39" s="1215"/>
      <c r="EY39" s="1215"/>
      <c r="EZ39" s="1215"/>
      <c r="FA39" s="1215"/>
      <c r="FB39" s="1215"/>
      <c r="FC39" s="1215"/>
      <c r="FD39" s="1216"/>
      <c r="FE39" s="126"/>
      <c r="FF39" s="121"/>
      <c r="FG39" s="121"/>
    </row>
    <row r="40" spans="1:163" ht="24">
      <c r="A40" s="74"/>
      <c r="B40" s="100"/>
      <c r="C40" s="100"/>
      <c r="D40" s="100"/>
      <c r="E40" s="100"/>
      <c r="F40" s="911"/>
      <c r="G40" s="912"/>
      <c r="H40" s="913"/>
      <c r="I40" s="919"/>
      <c r="J40" s="929" t="s">
        <v>219</v>
      </c>
      <c r="K40" s="929"/>
      <c r="L40" s="929"/>
      <c r="M40" s="930"/>
      <c r="N40" s="931" t="str">
        <f>IF(OR('07nen'!$R$17&gt;0,'07nen'!$Q$17="対象"),IF('07nen'!$H$17="","",(MIDB('07nen'!$H$17+1000000000000,2,1))),"")</f>
        <v/>
      </c>
      <c r="O40" s="931"/>
      <c r="P40" s="931" t="str">
        <f>IF($N$40="","",(MIDB('07nen'!$H$17+1000000000000,3,1)))</f>
        <v/>
      </c>
      <c r="Q40" s="931"/>
      <c r="R40" s="931" t="str">
        <f>IF($N$40="","",(MIDB('07nen'!$H$17+1000000000000,4,1)))</f>
        <v/>
      </c>
      <c r="S40" s="931"/>
      <c r="T40" s="931" t="str">
        <f>IF($N$40="","",(MIDB('07nen'!$H$17+1000000000000,5,1)))</f>
        <v/>
      </c>
      <c r="U40" s="931"/>
      <c r="V40" s="931" t="str">
        <f>IF($N$40="","",(MIDB('07nen'!$H$17+1000000000000,6,1)))</f>
        <v/>
      </c>
      <c r="W40" s="931"/>
      <c r="X40" s="931" t="str">
        <f>IF($N$40="","",(MIDB('07nen'!$H$17+1000000000000,7,1)))</f>
        <v/>
      </c>
      <c r="Y40" s="931"/>
      <c r="Z40" s="931" t="str">
        <f>IF($N$40="","",(MIDB('07nen'!$H$17+1000000000000,8,1)))</f>
        <v/>
      </c>
      <c r="AA40" s="931"/>
      <c r="AB40" s="931" t="str">
        <f>IF($N$40="","",(MIDB('07nen'!$H$17+1000000000000,9,1)))</f>
        <v/>
      </c>
      <c r="AC40" s="931"/>
      <c r="AD40" s="931" t="str">
        <f>IF($N$40="","",(MIDB('07nen'!$H$17+1000000000000,10,1)))</f>
        <v/>
      </c>
      <c r="AE40" s="931"/>
      <c r="AF40" s="931" t="str">
        <f>IF($N$40="","",(MIDB('07nen'!$H$17+1000000000000,11,1)))</f>
        <v/>
      </c>
      <c r="AG40" s="931"/>
      <c r="AH40" s="931" t="str">
        <f>IF($N$40="","",(MIDB('07nen'!$H$17+1000000000000,12,1)))</f>
        <v/>
      </c>
      <c r="AI40" s="931"/>
      <c r="AJ40" s="931" t="str">
        <f>IF($N$40="","",(MIDB('07nen'!$H$17+1000000000000,13,1)))</f>
        <v/>
      </c>
      <c r="AK40" s="931"/>
      <c r="AL40" s="911"/>
      <c r="AM40" s="912"/>
      <c r="AN40" s="913"/>
      <c r="AO40" s="935"/>
      <c r="AP40" s="929" t="s">
        <v>219</v>
      </c>
      <c r="AQ40" s="929"/>
      <c r="AR40" s="929"/>
      <c r="AS40" s="930"/>
      <c r="AT40" s="931" t="str">
        <f>IF('07nen'!$Q$23="対象",IF('07nen'!$H$23="","",(MIDB('07nen'!$H$23+1000000000000,2,1))),"")</f>
        <v/>
      </c>
      <c r="AU40" s="931"/>
      <c r="AV40" s="931" t="str">
        <f>IF($AT$40="","",(MIDB('07nen'!$H$23+1000000000000,3,1)))</f>
        <v/>
      </c>
      <c r="AW40" s="931"/>
      <c r="AX40" s="931" t="str">
        <f>IF($AT$40="","",(MIDB('07nen'!$H$23+1000000000000,4,1)))</f>
        <v/>
      </c>
      <c r="AY40" s="931"/>
      <c r="AZ40" s="931" t="str">
        <f>IF($AT$40="","",(MIDB('07nen'!$H$23+1000000000000,5,1)))</f>
        <v/>
      </c>
      <c r="BA40" s="931"/>
      <c r="BB40" s="931" t="str">
        <f>IF($AT$40="","",(MIDB('07nen'!$H$23+1000000000000,6,1)))</f>
        <v/>
      </c>
      <c r="BC40" s="931"/>
      <c r="BD40" s="931" t="str">
        <f>IF($AT$40="","",(MIDB('07nen'!$H$23+1000000000000,7,1)))</f>
        <v/>
      </c>
      <c r="BE40" s="931"/>
      <c r="BF40" s="931" t="str">
        <f>IF($AT$40="","",(MIDB('07nen'!$H$23+1000000000000,8,1)))</f>
        <v/>
      </c>
      <c r="BG40" s="931"/>
      <c r="BH40" s="931" t="str">
        <f>IF($AT$40="","",(MIDB('07nen'!$H$23+1000000000000,9,1)))</f>
        <v/>
      </c>
      <c r="BI40" s="931"/>
      <c r="BJ40" s="931" t="str">
        <f>IF($AT$40="","",(MIDB('07nen'!$H$23+1000000000000,10,1)))</f>
        <v/>
      </c>
      <c r="BK40" s="931"/>
      <c r="BL40" s="931" t="str">
        <f>IF($AT$40="","",(MIDB('07nen'!$H$23+1000000000000,11,1)))</f>
        <v/>
      </c>
      <c r="BM40" s="931"/>
      <c r="BN40" s="931" t="str">
        <f>IF($AT$40="","",(MIDB('07nen'!$H$23+1000000000000,12,1)))</f>
        <v/>
      </c>
      <c r="BO40" s="931"/>
      <c r="BP40" s="931" t="str">
        <f>IF($AT$40="","",(MIDB('07nen'!$H$23+1000000000000,13,1)))</f>
        <v/>
      </c>
      <c r="BQ40" s="931"/>
      <c r="BR40" s="932" t="str">
        <f>IF('07nen'!$AB$42="","",IF('07nen'!$E$62="","",IF(OR('07nen'!$R$62&gt;0,'07nen'!$Q$62="対象"),"("&amp;'07nen'!$AA$42&amp;") "&amp;RIGHTB('07nen'!$H$62+10000000000000,12))))</f>
        <v/>
      </c>
      <c r="BS40" s="933"/>
      <c r="BT40" s="933"/>
      <c r="BU40" s="933"/>
      <c r="BV40" s="933"/>
      <c r="BW40" s="933"/>
      <c r="BX40" s="933"/>
      <c r="BY40" s="933"/>
      <c r="BZ40" s="933"/>
      <c r="CA40" s="934"/>
      <c r="CB40" s="118"/>
      <c r="CG40" s="121"/>
      <c r="CH40" s="121"/>
      <c r="CI40" s="1223"/>
      <c r="CJ40" s="1224"/>
      <c r="CK40" s="1225"/>
      <c r="CL40" s="1231"/>
      <c r="CM40" s="1207"/>
      <c r="CN40" s="1208"/>
      <c r="CO40" s="1208"/>
      <c r="CP40" s="1208"/>
      <c r="CQ40" s="1208"/>
      <c r="CR40" s="1208"/>
      <c r="CS40" s="1208"/>
      <c r="CT40" s="1208"/>
      <c r="CU40" s="1208"/>
      <c r="CV40" s="1208"/>
      <c r="CW40" s="1208"/>
      <c r="CX40" s="1208"/>
      <c r="CY40" s="1208"/>
      <c r="CZ40" s="1208"/>
      <c r="DA40" s="1208"/>
      <c r="DB40" s="1208"/>
      <c r="DC40" s="1208"/>
      <c r="DD40" s="1208"/>
      <c r="DE40" s="1208"/>
      <c r="DF40" s="1208"/>
      <c r="DG40" s="1208"/>
      <c r="DH40" s="1208"/>
      <c r="DI40" s="1208"/>
      <c r="DJ40" s="1208"/>
      <c r="DK40" s="1208"/>
      <c r="DL40" s="1208"/>
      <c r="DM40" s="1208"/>
      <c r="DN40" s="1209"/>
      <c r="DO40" s="1223"/>
      <c r="DP40" s="1224"/>
      <c r="DQ40" s="1225"/>
      <c r="DR40" s="1239"/>
      <c r="DS40" s="1207"/>
      <c r="DT40" s="1208"/>
      <c r="DU40" s="1208"/>
      <c r="DV40" s="1208"/>
      <c r="DW40" s="1208"/>
      <c r="DX40" s="1208"/>
      <c r="DY40" s="1208"/>
      <c r="DZ40" s="1208"/>
      <c r="EA40" s="1208"/>
      <c r="EB40" s="1208"/>
      <c r="EC40" s="1208"/>
      <c r="ED40" s="1208"/>
      <c r="EE40" s="1208"/>
      <c r="EF40" s="1208"/>
      <c r="EG40" s="1208"/>
      <c r="EH40" s="1208"/>
      <c r="EI40" s="1208"/>
      <c r="EJ40" s="1208"/>
      <c r="EK40" s="1208"/>
      <c r="EL40" s="1208"/>
      <c r="EM40" s="1208"/>
      <c r="EN40" s="1208"/>
      <c r="EO40" s="1208"/>
      <c r="EP40" s="1208"/>
      <c r="EQ40" s="1208"/>
      <c r="ER40" s="1208"/>
      <c r="ES40" s="1208"/>
      <c r="ET40" s="1209"/>
      <c r="EU40" s="1214"/>
      <c r="EV40" s="1215"/>
      <c r="EW40" s="1215"/>
      <c r="EX40" s="1215"/>
      <c r="EY40" s="1215"/>
      <c r="EZ40" s="1215"/>
      <c r="FA40" s="1215"/>
      <c r="FB40" s="1215"/>
      <c r="FC40" s="1215"/>
      <c r="FD40" s="1216"/>
      <c r="FE40" s="126"/>
      <c r="FF40" s="121"/>
      <c r="FG40" s="121"/>
    </row>
    <row r="41" spans="1:163" ht="23.45" customHeight="1">
      <c r="A41" s="74"/>
      <c r="B41" s="100"/>
      <c r="C41" s="100"/>
      <c r="D41" s="100"/>
      <c r="E41" s="100"/>
      <c r="F41" s="911"/>
      <c r="G41" s="912"/>
      <c r="H41" s="913"/>
      <c r="I41" s="917">
        <v>2</v>
      </c>
      <c r="J41" s="920" t="s">
        <v>221</v>
      </c>
      <c r="K41" s="921"/>
      <c r="L41" s="921"/>
      <c r="M41" s="920"/>
      <c r="N41" s="409"/>
      <c r="O41" s="922" t="str">
        <f>+IF(OR('07nen'!$R$18&gt;0,'07nen'!$Q$18="対象"),IF('07nen'!$F$18="","",'07nen'!$F$18),"")</f>
        <v/>
      </c>
      <c r="P41" s="922"/>
      <c r="Q41" s="922"/>
      <c r="R41" s="922"/>
      <c r="S41" s="922"/>
      <c r="T41" s="922"/>
      <c r="U41" s="922"/>
      <c r="V41" s="410"/>
      <c r="W41" s="410"/>
      <c r="X41" s="922" t="str">
        <f>IF(OR('07nen'!$R$18&gt;0,'07nen'!$Q$18="対象"),IF('07nen'!$G$18="","",'07nen'!$G$18),"")</f>
        <v/>
      </c>
      <c r="Y41" s="922"/>
      <c r="Z41" s="922"/>
      <c r="AA41" s="922"/>
      <c r="AB41" s="922"/>
      <c r="AC41" s="922"/>
      <c r="AD41" s="922"/>
      <c r="AE41" s="411"/>
      <c r="AF41" s="923" t="s">
        <v>220</v>
      </c>
      <c r="AG41" s="924"/>
      <c r="AH41" s="926" t="str">
        <f>IF(OR('07nen'!$R$18&gt;0,'07nen'!$Q$18="対象"),IF(AND('07nen'!$R$18=0,'07nen'!$P$18="－"),"",MAX('07nen'!$R$18,'07nen'!$P$18)),"")</f>
        <v/>
      </c>
      <c r="AI41" s="926"/>
      <c r="AJ41" s="926"/>
      <c r="AK41" s="926"/>
      <c r="AL41" s="911"/>
      <c r="AM41" s="912"/>
      <c r="AN41" s="913"/>
      <c r="AO41" s="935">
        <v>2</v>
      </c>
      <c r="AP41" s="944" t="s">
        <v>221</v>
      </c>
      <c r="AQ41" s="944"/>
      <c r="AR41" s="944"/>
      <c r="AS41" s="944"/>
      <c r="AT41" s="412"/>
      <c r="AU41" s="894" t="str">
        <f>IF('07nen'!$Q$24="対象",IF('07nen'!$F$24="","",'07nen'!$F$24),"")</f>
        <v/>
      </c>
      <c r="AV41" s="894"/>
      <c r="AW41" s="894"/>
      <c r="AX41" s="894"/>
      <c r="AY41" s="894"/>
      <c r="AZ41" s="894"/>
      <c r="BA41" s="894"/>
      <c r="BB41" s="229"/>
      <c r="BC41" s="229"/>
      <c r="BD41" s="894" t="str">
        <f>IF('07nen'!$Q$24="対象",IF('07nen'!$G$23="","",'07nen'!$G$24),"")</f>
        <v/>
      </c>
      <c r="BE41" s="894"/>
      <c r="BF41" s="894"/>
      <c r="BG41" s="894"/>
      <c r="BH41" s="894"/>
      <c r="BI41" s="894"/>
      <c r="BJ41" s="894"/>
      <c r="BK41" s="414"/>
      <c r="BL41" s="923" t="s">
        <v>220</v>
      </c>
      <c r="BM41" s="924"/>
      <c r="BN41" s="926" t="str">
        <f>IF('07nen'!$Q$24="対象",IF('07nen'!$P$24="－","",'07nen'!$P$24),"")</f>
        <v/>
      </c>
      <c r="BO41" s="926"/>
      <c r="BP41" s="926"/>
      <c r="BQ41" s="926"/>
      <c r="BR41" s="932" t="str">
        <f>IF('07nen'!$AB$43="","",IF('07nen'!$E$63="","",IF(OR('07nen'!$R$63&gt;0,'07nen'!$Q$63="対象"),"("&amp;'07nen'!$AA$43&amp;") "&amp;RIGHTB('07nen'!$H$63+10000000000000,12))))</f>
        <v/>
      </c>
      <c r="BS41" s="933"/>
      <c r="BT41" s="933"/>
      <c r="BU41" s="933"/>
      <c r="BV41" s="933"/>
      <c r="BW41" s="933"/>
      <c r="BX41" s="933"/>
      <c r="BY41" s="933"/>
      <c r="BZ41" s="933"/>
      <c r="CA41" s="934"/>
      <c r="CB41" s="118"/>
      <c r="CG41" s="121"/>
      <c r="CH41" s="121"/>
      <c r="CI41" s="1223"/>
      <c r="CJ41" s="1224"/>
      <c r="CK41" s="1225"/>
      <c r="CL41" s="1229">
        <v>2</v>
      </c>
      <c r="CM41" s="1250" t="s">
        <v>221</v>
      </c>
      <c r="CN41" s="1251"/>
      <c r="CO41" s="1251"/>
      <c r="CP41" s="1252"/>
      <c r="CQ41" s="229"/>
      <c r="CR41" s="1253" t="str">
        <f>IF('07nen'!$Q$18="対象",IF('07nen'!$F$18="","",'07nen'!$F$18),"")</f>
        <v/>
      </c>
      <c r="CS41" s="1253"/>
      <c r="CT41" s="1253"/>
      <c r="CU41" s="1253"/>
      <c r="CV41" s="1253"/>
      <c r="CW41" s="1253"/>
      <c r="CX41" s="1253"/>
      <c r="CY41" s="229"/>
      <c r="CZ41" s="229"/>
      <c r="DA41" s="1253" t="str">
        <f>IF('07nen'!$Q$18="対象",IF('07nen'!$G$18="","",'07nen'!$G$18),"")</f>
        <v/>
      </c>
      <c r="DB41" s="1253"/>
      <c r="DC41" s="1253"/>
      <c r="DD41" s="1253"/>
      <c r="DE41" s="1253"/>
      <c r="DF41" s="1253"/>
      <c r="DG41" s="1253"/>
      <c r="DH41" s="229"/>
      <c r="DI41" s="1254" t="s">
        <v>220</v>
      </c>
      <c r="DJ41" s="1255"/>
      <c r="DK41" s="1244" t="str">
        <f>IF('07nen'!$Q$18="対象",IF('07nen'!$P$18="－","",'07nen'!$P$18),"")</f>
        <v/>
      </c>
      <c r="DL41" s="1245"/>
      <c r="DM41" s="1245"/>
      <c r="DN41" s="1246"/>
      <c r="DO41" s="1223"/>
      <c r="DP41" s="1224"/>
      <c r="DQ41" s="1225"/>
      <c r="DR41" s="1229">
        <v>2</v>
      </c>
      <c r="DS41" s="944" t="s">
        <v>221</v>
      </c>
      <c r="DT41" s="944"/>
      <c r="DU41" s="944"/>
      <c r="DV41" s="944"/>
      <c r="DW41" s="412"/>
      <c r="DX41" s="894" t="str">
        <f>IF('07nen'!$Q$24="対象",IF('07nen'!$F$24="","",'07nen'!$F$24),"")</f>
        <v/>
      </c>
      <c r="DY41" s="894"/>
      <c r="DZ41" s="894"/>
      <c r="EA41" s="894"/>
      <c r="EB41" s="894"/>
      <c r="EC41" s="894"/>
      <c r="ED41" s="894"/>
      <c r="EE41" s="229"/>
      <c r="EF41" s="229"/>
      <c r="EG41" s="894" t="str">
        <f>IF('07nen'!$Q$24="対象",IF('07nen'!$G$23="","",'07nen'!$G$24),"")</f>
        <v/>
      </c>
      <c r="EH41" s="894"/>
      <c r="EI41" s="894"/>
      <c r="EJ41" s="894"/>
      <c r="EK41" s="894"/>
      <c r="EL41" s="894"/>
      <c r="EM41" s="894"/>
      <c r="EN41" s="414"/>
      <c r="EO41" s="923" t="s">
        <v>220</v>
      </c>
      <c r="EP41" s="924"/>
      <c r="EQ41" s="926" t="str">
        <f>IF('07nen'!$Q$24="対象",IF('07nen'!$P$24="－","",'07nen'!$P$24),"")</f>
        <v/>
      </c>
      <c r="ER41" s="926"/>
      <c r="ES41" s="926"/>
      <c r="ET41" s="926"/>
      <c r="EU41" s="1214"/>
      <c r="EV41" s="1215"/>
      <c r="EW41" s="1215"/>
      <c r="EX41" s="1215"/>
      <c r="EY41" s="1215"/>
      <c r="EZ41" s="1215"/>
      <c r="FA41" s="1215"/>
      <c r="FB41" s="1215"/>
      <c r="FC41" s="1215"/>
      <c r="FD41" s="1216"/>
      <c r="FE41" s="126"/>
      <c r="FF41" s="121"/>
      <c r="FG41" s="121"/>
    </row>
    <row r="42" spans="1:163" ht="23.45" customHeight="1">
      <c r="A42" s="74"/>
      <c r="B42" s="100"/>
      <c r="C42" s="100"/>
      <c r="D42" s="100"/>
      <c r="E42" s="100"/>
      <c r="F42" s="911"/>
      <c r="G42" s="912"/>
      <c r="H42" s="913"/>
      <c r="I42" s="918"/>
      <c r="J42" s="753" t="s">
        <v>66</v>
      </c>
      <c r="K42" s="753"/>
      <c r="L42" s="753"/>
      <c r="M42" s="753"/>
      <c r="N42" s="413"/>
      <c r="O42" s="877" t="str">
        <f>IF(OR('07nen'!$R$18&gt;0,'07nen'!$Q$18="対象"),IF('07nen'!$D$18="","",'07nen'!$D$18),"")</f>
        <v/>
      </c>
      <c r="P42" s="877"/>
      <c r="Q42" s="877"/>
      <c r="R42" s="877"/>
      <c r="S42" s="877"/>
      <c r="T42" s="877"/>
      <c r="U42" s="877"/>
      <c r="V42" s="125"/>
      <c r="W42" s="125"/>
      <c r="X42" s="877" t="str">
        <f>IF(OR('07nen'!$R$18&gt;0,'07nen'!$Q$18="対象"),IF('07nen'!$E$18="","",'07nen'!$E$18),"")</f>
        <v/>
      </c>
      <c r="Y42" s="877"/>
      <c r="Z42" s="877"/>
      <c r="AA42" s="877"/>
      <c r="AB42" s="877"/>
      <c r="AC42" s="877"/>
      <c r="AD42" s="877"/>
      <c r="AE42" s="404"/>
      <c r="AF42" s="925"/>
      <c r="AG42" s="925"/>
      <c r="AH42" s="927"/>
      <c r="AI42" s="927"/>
      <c r="AJ42" s="926"/>
      <c r="AK42" s="926"/>
      <c r="AL42" s="911"/>
      <c r="AM42" s="912"/>
      <c r="AN42" s="913"/>
      <c r="AO42" s="935"/>
      <c r="AP42" s="753" t="s">
        <v>66</v>
      </c>
      <c r="AQ42" s="753"/>
      <c r="AR42" s="753"/>
      <c r="AS42" s="753"/>
      <c r="AT42" s="413"/>
      <c r="AU42" s="877" t="str">
        <f>IF('07nen'!$Q$24="対象",IF('07nen'!$D$24="","",'07nen'!$D$24),"")</f>
        <v/>
      </c>
      <c r="AV42" s="877"/>
      <c r="AW42" s="877"/>
      <c r="AX42" s="877"/>
      <c r="AY42" s="877"/>
      <c r="AZ42" s="877"/>
      <c r="BA42" s="877"/>
      <c r="BB42" s="125"/>
      <c r="BC42" s="125"/>
      <c r="BD42" s="877" t="str">
        <f>IF('07nen'!$Q$24="対象",IF('07nen'!$E$24="","",'07nen'!$E$24),"")</f>
        <v/>
      </c>
      <c r="BE42" s="877"/>
      <c r="BF42" s="877"/>
      <c r="BG42" s="877"/>
      <c r="BH42" s="877"/>
      <c r="BI42" s="877"/>
      <c r="BJ42" s="877"/>
      <c r="BK42" s="404"/>
      <c r="BL42" s="925"/>
      <c r="BM42" s="925"/>
      <c r="BN42" s="926"/>
      <c r="BO42" s="926"/>
      <c r="BP42" s="926"/>
      <c r="BQ42" s="926"/>
      <c r="BR42" s="122"/>
      <c r="BU42" s="123"/>
      <c r="BV42" s="123"/>
      <c r="BW42" s="123"/>
      <c r="BX42" s="123"/>
      <c r="BY42" s="123"/>
      <c r="BZ42" s="123"/>
      <c r="CA42" s="415"/>
      <c r="CB42" s="118"/>
      <c r="CG42" s="121"/>
      <c r="CH42" s="121"/>
      <c r="CI42" s="1223"/>
      <c r="CJ42" s="1224"/>
      <c r="CK42" s="1225"/>
      <c r="CL42" s="1230"/>
      <c r="CM42" s="1240" t="s">
        <v>66</v>
      </c>
      <c r="CN42" s="1241"/>
      <c r="CO42" s="1241"/>
      <c r="CP42" s="1242"/>
      <c r="CQ42" s="124"/>
      <c r="CR42" s="1243" t="str">
        <f>IF('07nen'!$Q$18="対象",IF('07nen'!$D$18="","",'07nen'!$D$18),"")</f>
        <v/>
      </c>
      <c r="CS42" s="1243"/>
      <c r="CT42" s="1243"/>
      <c r="CU42" s="1243"/>
      <c r="CV42" s="1243"/>
      <c r="CW42" s="1243"/>
      <c r="CX42" s="1243"/>
      <c r="CY42" s="125"/>
      <c r="CZ42" s="125"/>
      <c r="DA42" s="1243" t="str">
        <f>IF('07nen'!$Q$18="対象",IF('07nen'!$E$18="","",'07nen'!$E$18),"")</f>
        <v/>
      </c>
      <c r="DB42" s="1243"/>
      <c r="DC42" s="1243"/>
      <c r="DD42" s="1243"/>
      <c r="DE42" s="1243"/>
      <c r="DF42" s="1243"/>
      <c r="DG42" s="1243"/>
      <c r="DH42" s="124"/>
      <c r="DI42" s="1256"/>
      <c r="DJ42" s="1257"/>
      <c r="DK42" s="1247"/>
      <c r="DL42" s="1248"/>
      <c r="DM42" s="1248"/>
      <c r="DN42" s="1249"/>
      <c r="DO42" s="1223"/>
      <c r="DP42" s="1224"/>
      <c r="DQ42" s="1225"/>
      <c r="DR42" s="1230"/>
      <c r="DS42" s="753" t="s">
        <v>66</v>
      </c>
      <c r="DT42" s="753"/>
      <c r="DU42" s="753"/>
      <c r="DV42" s="753"/>
      <c r="DW42" s="413"/>
      <c r="DX42" s="877" t="str">
        <f>IF('07nen'!$Q$24="対象",IF('07nen'!$D$24="","",'07nen'!$D$24),"")</f>
        <v/>
      </c>
      <c r="DY42" s="877"/>
      <c r="DZ42" s="877"/>
      <c r="EA42" s="877"/>
      <c r="EB42" s="877"/>
      <c r="EC42" s="877"/>
      <c r="ED42" s="877"/>
      <c r="EE42" s="125"/>
      <c r="EF42" s="125"/>
      <c r="EG42" s="877" t="str">
        <f>IF('07nen'!$Q$24="対象",IF('07nen'!$E$24="","",'07nen'!$E$24),"")</f>
        <v/>
      </c>
      <c r="EH42" s="877"/>
      <c r="EI42" s="877"/>
      <c r="EJ42" s="877"/>
      <c r="EK42" s="877"/>
      <c r="EL42" s="877"/>
      <c r="EM42" s="877"/>
      <c r="EN42" s="404"/>
      <c r="EO42" s="925"/>
      <c r="EP42" s="925"/>
      <c r="EQ42" s="926"/>
      <c r="ER42" s="926"/>
      <c r="ES42" s="926"/>
      <c r="ET42" s="926"/>
      <c r="EU42" s="1214"/>
      <c r="EV42" s="1215"/>
      <c r="EW42" s="1215"/>
      <c r="EX42" s="1215"/>
      <c r="EY42" s="1215"/>
      <c r="EZ42" s="1215"/>
      <c r="FA42" s="1215"/>
      <c r="FB42" s="1215"/>
      <c r="FC42" s="1215"/>
      <c r="FD42" s="1216"/>
      <c r="FE42" s="126"/>
      <c r="FF42" s="121"/>
      <c r="FG42" s="121"/>
    </row>
    <row r="43" spans="1:163" ht="24">
      <c r="A43" s="74"/>
      <c r="B43" s="100"/>
      <c r="C43" s="100"/>
      <c r="D43" s="100"/>
      <c r="E43" s="100"/>
      <c r="F43" s="911"/>
      <c r="G43" s="912"/>
      <c r="H43" s="913"/>
      <c r="I43" s="919"/>
      <c r="J43" s="929" t="s">
        <v>219</v>
      </c>
      <c r="K43" s="929"/>
      <c r="L43" s="929"/>
      <c r="M43" s="930"/>
      <c r="N43" s="931" t="str">
        <f>IF(OR('07nen'!$R$18&gt;0,'07nen'!$Q$18="対象"),IF('07nen'!$H$18="","",(MIDB('07nen'!$H$18+1000000000000,2,1))),"")</f>
        <v/>
      </c>
      <c r="O43" s="931"/>
      <c r="P43" s="931" t="str">
        <f>IF($N$43="","",(MIDB('07nen'!$H$18+1000000000000,3,1)))</f>
        <v/>
      </c>
      <c r="Q43" s="931"/>
      <c r="R43" s="931" t="str">
        <f>IF($N$43="","",(MIDB('07nen'!$H$18+1000000000000,4,1)))</f>
        <v/>
      </c>
      <c r="S43" s="931"/>
      <c r="T43" s="931" t="str">
        <f>IF($N$43="","",(MIDB('07nen'!$H$18+1000000000000,5,1)))</f>
        <v/>
      </c>
      <c r="U43" s="931"/>
      <c r="V43" s="931" t="str">
        <f>IF($N$43="","",(MIDB('07nen'!$H$18+1000000000000,6,1)))</f>
        <v/>
      </c>
      <c r="W43" s="931"/>
      <c r="X43" s="931" t="str">
        <f>IF($N$43="","",(MIDB('07nen'!$H$18+1000000000000,7,1)))</f>
        <v/>
      </c>
      <c r="Y43" s="931"/>
      <c r="Z43" s="931" t="str">
        <f>IF($N$43="","",(MIDB('07nen'!$H$18+1000000000000,8,1)))</f>
        <v/>
      </c>
      <c r="AA43" s="931"/>
      <c r="AB43" s="931" t="str">
        <f>IF($N$43="","",(MIDB('07nen'!$H$18+1000000000000,9,1)))</f>
        <v/>
      </c>
      <c r="AC43" s="931"/>
      <c r="AD43" s="931" t="str">
        <f>IF($N$43="","",(MIDB('07nen'!$H$18+1000000000000,10,1)))</f>
        <v/>
      </c>
      <c r="AE43" s="931"/>
      <c r="AF43" s="931" t="str">
        <f>IF($N$43="","",(MIDB('07nen'!$H$18+1000000000000,11,1)))</f>
        <v/>
      </c>
      <c r="AG43" s="931"/>
      <c r="AH43" s="931" t="str">
        <f>IF($N$43="","",(MIDB('07nen'!$H$18+1000000000000,12,1)))</f>
        <v/>
      </c>
      <c r="AI43" s="931"/>
      <c r="AJ43" s="931" t="str">
        <f>IF($N$43="","",(MIDB('07nen'!$H$18+1000000000000,13,1)))</f>
        <v/>
      </c>
      <c r="AK43" s="931"/>
      <c r="AL43" s="911"/>
      <c r="AM43" s="912"/>
      <c r="AN43" s="913"/>
      <c r="AO43" s="935"/>
      <c r="AP43" s="929" t="s">
        <v>219</v>
      </c>
      <c r="AQ43" s="929"/>
      <c r="AR43" s="929"/>
      <c r="AS43" s="930"/>
      <c r="AT43" s="931" t="str">
        <f>IF('07nen'!$Q$24="対象",IF('07nen'!$H$24="","",(MIDB('07nen'!$H$24+1000000000000,2,1))),"")</f>
        <v/>
      </c>
      <c r="AU43" s="931"/>
      <c r="AV43" s="931" t="str">
        <f>IF($AT$43="","",(MIDB('07nen'!$H$24+1000000000000,3,1)))</f>
        <v/>
      </c>
      <c r="AW43" s="931"/>
      <c r="AX43" s="931" t="str">
        <f>IF($AT$43="","",(MIDB('07nen'!$H$24+1000000000000,4,1)))</f>
        <v/>
      </c>
      <c r="AY43" s="931"/>
      <c r="AZ43" s="931" t="str">
        <f>IF($AT$43="","",(MIDB('07nen'!$H$24+1000000000000,5,1)))</f>
        <v/>
      </c>
      <c r="BA43" s="931"/>
      <c r="BB43" s="931" t="str">
        <f>IF($AT$43="","",(MIDB('07nen'!$H$24+1000000000000,6,1)))</f>
        <v/>
      </c>
      <c r="BC43" s="931"/>
      <c r="BD43" s="931" t="str">
        <f>IF($AT$43="","",(MIDB('07nen'!$H$24+1000000000000,7,1)))</f>
        <v/>
      </c>
      <c r="BE43" s="931"/>
      <c r="BF43" s="931" t="str">
        <f>IF($AT$43="","",(MIDB('07nen'!$H$24+1000000000000,8,1)))</f>
        <v/>
      </c>
      <c r="BG43" s="931"/>
      <c r="BH43" s="931" t="str">
        <f>IF($AT$43="","",(MIDB('07nen'!$H$24+1000000000000,9,1)))</f>
        <v/>
      </c>
      <c r="BI43" s="931"/>
      <c r="BJ43" s="931" t="str">
        <f>IF($AT$43="","",(MIDB('07nen'!$H$24+1000000000000,10,1)))</f>
        <v/>
      </c>
      <c r="BK43" s="931"/>
      <c r="BL43" s="931" t="str">
        <f>IF($AT$43="","",(MIDB('07nen'!$H$24+1000000000000,11,1)))</f>
        <v/>
      </c>
      <c r="BM43" s="931"/>
      <c r="BN43" s="931" t="str">
        <f>IF($AT$43="","",(MIDB('07nen'!$H$24+1000000000000,12,1)))</f>
        <v/>
      </c>
      <c r="BO43" s="931"/>
      <c r="BP43" s="931" t="str">
        <f>IF($AT$43="","",(MIDB('07nen'!$H$24+1000000000000,13,1)))</f>
        <v/>
      </c>
      <c r="BQ43" s="931"/>
      <c r="BR43" s="122"/>
      <c r="BU43" s="123"/>
      <c r="BV43" s="123"/>
      <c r="BW43" s="123"/>
      <c r="BX43" s="123"/>
      <c r="BY43" s="123"/>
      <c r="BZ43" s="123"/>
      <c r="CA43" s="415"/>
      <c r="CB43" s="118"/>
      <c r="CG43" s="121"/>
      <c r="CH43" s="121"/>
      <c r="CI43" s="1223"/>
      <c r="CJ43" s="1224"/>
      <c r="CK43" s="1225"/>
      <c r="CL43" s="1231"/>
      <c r="CM43" s="1207"/>
      <c r="CN43" s="1208"/>
      <c r="CO43" s="1208"/>
      <c r="CP43" s="1208"/>
      <c r="CQ43" s="1208"/>
      <c r="CR43" s="1208"/>
      <c r="CS43" s="1208"/>
      <c r="CT43" s="1208"/>
      <c r="CU43" s="1208"/>
      <c r="CV43" s="1208"/>
      <c r="CW43" s="1208"/>
      <c r="CX43" s="1208"/>
      <c r="CY43" s="1208"/>
      <c r="CZ43" s="1208"/>
      <c r="DA43" s="1208"/>
      <c r="DB43" s="1208"/>
      <c r="DC43" s="1208"/>
      <c r="DD43" s="1208"/>
      <c r="DE43" s="1208"/>
      <c r="DF43" s="1208"/>
      <c r="DG43" s="1208"/>
      <c r="DH43" s="1208"/>
      <c r="DI43" s="1208"/>
      <c r="DJ43" s="1208"/>
      <c r="DK43" s="1208"/>
      <c r="DL43" s="1208"/>
      <c r="DM43" s="1208"/>
      <c r="DN43" s="1209"/>
      <c r="DO43" s="1223"/>
      <c r="DP43" s="1224"/>
      <c r="DQ43" s="1225"/>
      <c r="DR43" s="1231"/>
      <c r="DS43" s="1207"/>
      <c r="DT43" s="1208"/>
      <c r="DU43" s="1208"/>
      <c r="DV43" s="1208"/>
      <c r="DW43" s="1208"/>
      <c r="DX43" s="1208"/>
      <c r="DY43" s="1208"/>
      <c r="DZ43" s="1208"/>
      <c r="EA43" s="1208"/>
      <c r="EB43" s="1208"/>
      <c r="EC43" s="1208"/>
      <c r="ED43" s="1208"/>
      <c r="EE43" s="1208"/>
      <c r="EF43" s="1208"/>
      <c r="EG43" s="1208"/>
      <c r="EH43" s="1208"/>
      <c r="EI43" s="1208"/>
      <c r="EJ43" s="1208"/>
      <c r="EK43" s="1208"/>
      <c r="EL43" s="1208"/>
      <c r="EM43" s="1208"/>
      <c r="EN43" s="1208"/>
      <c r="EO43" s="1208"/>
      <c r="EP43" s="1208"/>
      <c r="EQ43" s="1208"/>
      <c r="ER43" s="1208"/>
      <c r="ES43" s="1208"/>
      <c r="ET43" s="1209"/>
      <c r="EU43" s="1214"/>
      <c r="EV43" s="1215"/>
      <c r="EW43" s="1215"/>
      <c r="EX43" s="1215"/>
      <c r="EY43" s="1215"/>
      <c r="EZ43" s="1215"/>
      <c r="FA43" s="1215"/>
      <c r="FB43" s="1215"/>
      <c r="FC43" s="1215"/>
      <c r="FD43" s="1216"/>
      <c r="FE43" s="126"/>
      <c r="FF43" s="121"/>
      <c r="FG43" s="121"/>
    </row>
    <row r="44" spans="1:163" ht="23.45" customHeight="1">
      <c r="A44" s="74"/>
      <c r="B44" s="100"/>
      <c r="C44" s="100"/>
      <c r="D44" s="100"/>
      <c r="E44" s="100"/>
      <c r="F44" s="911"/>
      <c r="G44" s="912"/>
      <c r="H44" s="913"/>
      <c r="I44" s="917">
        <v>3</v>
      </c>
      <c r="J44" s="920" t="s">
        <v>221</v>
      </c>
      <c r="K44" s="920"/>
      <c r="L44" s="920"/>
      <c r="M44" s="920"/>
      <c r="N44" s="409"/>
      <c r="O44" s="922" t="str">
        <f>+IF(OR('07nen'!$R$19&gt;0,'07nen'!$Q$19="対象"),IF('07nen'!$F$19="","",'07nen'!$F$19),"")</f>
        <v/>
      </c>
      <c r="P44" s="922"/>
      <c r="Q44" s="922"/>
      <c r="R44" s="922"/>
      <c r="S44" s="922"/>
      <c r="T44" s="922"/>
      <c r="U44" s="922"/>
      <c r="V44" s="410"/>
      <c r="W44" s="410"/>
      <c r="X44" s="922" t="str">
        <f>IF(OR('07nen'!$R$19&gt;0,'07nen'!$Q$19="対象"),IF('07nen'!$G$19="","",'07nen'!$G$19),"")</f>
        <v/>
      </c>
      <c r="Y44" s="922"/>
      <c r="Z44" s="922"/>
      <c r="AA44" s="922"/>
      <c r="AB44" s="922"/>
      <c r="AC44" s="922"/>
      <c r="AD44" s="922"/>
      <c r="AE44" s="411"/>
      <c r="AF44" s="923" t="s">
        <v>220</v>
      </c>
      <c r="AG44" s="924"/>
      <c r="AH44" s="926" t="str">
        <f>IF(OR('07nen'!$R$19&gt;0,'07nen'!$Q$19="対象"),IF(AND('07nen'!$R$19=0,'07nen'!$P$19="－"),"",MAX('07nen'!$R$19,'07nen'!$P$19)),"")</f>
        <v/>
      </c>
      <c r="AI44" s="926"/>
      <c r="AJ44" s="926"/>
      <c r="AK44" s="926"/>
      <c r="AL44" s="911"/>
      <c r="AM44" s="912"/>
      <c r="AN44" s="913"/>
      <c r="AO44" s="935">
        <v>3</v>
      </c>
      <c r="AP44" s="920" t="s">
        <v>221</v>
      </c>
      <c r="AQ44" s="920"/>
      <c r="AR44" s="920"/>
      <c r="AS44" s="920"/>
      <c r="AT44" s="409"/>
      <c r="AU44" s="922" t="str">
        <f>IF('07nen'!$Q$25="対象",IF('07nen'!$F$25="","",'07nen'!$F$25),"")</f>
        <v/>
      </c>
      <c r="AV44" s="922"/>
      <c r="AW44" s="922"/>
      <c r="AX44" s="922"/>
      <c r="AY44" s="922"/>
      <c r="AZ44" s="922"/>
      <c r="BA44" s="922"/>
      <c r="BB44" s="410"/>
      <c r="BC44" s="410"/>
      <c r="BD44" s="922" t="str">
        <f>IF('07nen'!$Q$25="対象",IF('07nen'!$G$25="","",'07nen'!$G$25),"")</f>
        <v/>
      </c>
      <c r="BE44" s="922"/>
      <c r="BF44" s="922"/>
      <c r="BG44" s="922"/>
      <c r="BH44" s="922"/>
      <c r="BI44" s="922"/>
      <c r="BJ44" s="922"/>
      <c r="BK44" s="411"/>
      <c r="BL44" s="923" t="s">
        <v>220</v>
      </c>
      <c r="BM44" s="924"/>
      <c r="BN44" s="926" t="str">
        <f>IF('07nen'!$Q$25="対象",IF('07nen'!$P$25="－","",'07nen'!$P$25),"")</f>
        <v/>
      </c>
      <c r="BO44" s="926"/>
      <c r="BP44" s="926"/>
      <c r="BQ44" s="926"/>
      <c r="BR44" s="122"/>
      <c r="BU44" s="123"/>
      <c r="BV44" s="123"/>
      <c r="BW44" s="123"/>
      <c r="BX44" s="123"/>
      <c r="BY44" s="123"/>
      <c r="BZ44" s="123"/>
      <c r="CA44" s="415"/>
      <c r="CB44" s="118"/>
      <c r="CG44" s="121"/>
      <c r="CH44" s="121"/>
      <c r="CI44" s="1223"/>
      <c r="CJ44" s="1224"/>
      <c r="CK44" s="1225"/>
      <c r="CL44" s="1229">
        <v>3</v>
      </c>
      <c r="CM44" s="920" t="s">
        <v>221</v>
      </c>
      <c r="CN44" s="920"/>
      <c r="CO44" s="920"/>
      <c r="CP44" s="920"/>
      <c r="CQ44" s="409"/>
      <c r="CR44" s="922" t="str">
        <f>+IF(OR('07nen'!$R$19&gt;0,'07nen'!$Q$19="対象"),IF('07nen'!$F$19="","",'07nen'!$F$19),"")</f>
        <v/>
      </c>
      <c r="CS44" s="922"/>
      <c r="CT44" s="922"/>
      <c r="CU44" s="922"/>
      <c r="CV44" s="922"/>
      <c r="CW44" s="922"/>
      <c r="CX44" s="922"/>
      <c r="CY44" s="410"/>
      <c r="CZ44" s="410"/>
      <c r="DA44" s="922" t="str">
        <f>IF(OR('07nen'!$R$19&gt;0,'07nen'!$Q$19="対象"),IF('07nen'!$G$19="","",'07nen'!$G$19),"")</f>
        <v/>
      </c>
      <c r="DB44" s="922"/>
      <c r="DC44" s="922"/>
      <c r="DD44" s="922"/>
      <c r="DE44" s="922"/>
      <c r="DF44" s="922"/>
      <c r="DG44" s="922"/>
      <c r="DH44" s="411"/>
      <c r="DI44" s="923" t="s">
        <v>220</v>
      </c>
      <c r="DJ44" s="924"/>
      <c r="DK44" s="926" t="str">
        <f>IF(OR('07nen'!$R$19&gt;0,'07nen'!$Q$19="対象"),IF(AND('07nen'!$R$19=0,'07nen'!$P$19="－"),"",MAX('07nen'!$R$19,'07nen'!$P$19)),"")</f>
        <v/>
      </c>
      <c r="DL44" s="926"/>
      <c r="DM44" s="926"/>
      <c r="DN44" s="926"/>
      <c r="DO44" s="1223"/>
      <c r="DP44" s="1224"/>
      <c r="DQ44" s="1225"/>
      <c r="DR44" s="1229">
        <v>3</v>
      </c>
      <c r="DS44" s="920" t="s">
        <v>221</v>
      </c>
      <c r="DT44" s="920"/>
      <c r="DU44" s="920"/>
      <c r="DV44" s="920"/>
      <c r="DW44" s="409"/>
      <c r="DX44" s="922" t="str">
        <f>IF('07nen'!$Q$25="対象",IF('07nen'!$F$25="","",'07nen'!$F$25),"")</f>
        <v/>
      </c>
      <c r="DY44" s="922"/>
      <c r="DZ44" s="922"/>
      <c r="EA44" s="922"/>
      <c r="EB44" s="922"/>
      <c r="EC44" s="922"/>
      <c r="ED44" s="922"/>
      <c r="EE44" s="410"/>
      <c r="EF44" s="410"/>
      <c r="EG44" s="922" t="str">
        <f>IF('07nen'!$Q$25="対象",IF('07nen'!$G$25="","",'07nen'!$G$25),"")</f>
        <v/>
      </c>
      <c r="EH44" s="922"/>
      <c r="EI44" s="922"/>
      <c r="EJ44" s="922"/>
      <c r="EK44" s="922"/>
      <c r="EL44" s="922"/>
      <c r="EM44" s="922"/>
      <c r="EN44" s="411"/>
      <c r="EO44" s="923" t="s">
        <v>220</v>
      </c>
      <c r="EP44" s="924"/>
      <c r="EQ44" s="926" t="str">
        <f>IF('07nen'!$Q$25="対象",IF('07nen'!$P$25="－","",'07nen'!$P$25),"")</f>
        <v/>
      </c>
      <c r="ER44" s="926"/>
      <c r="ES44" s="926"/>
      <c r="ET44" s="926"/>
      <c r="EU44" s="1214"/>
      <c r="EV44" s="1215"/>
      <c r="EW44" s="1215"/>
      <c r="EX44" s="1215"/>
      <c r="EY44" s="1215"/>
      <c r="EZ44" s="1215"/>
      <c r="FA44" s="1215"/>
      <c r="FB44" s="1215"/>
      <c r="FC44" s="1215"/>
      <c r="FD44" s="1216"/>
      <c r="FE44" s="126"/>
      <c r="FF44" s="121"/>
      <c r="FG44" s="121"/>
    </row>
    <row r="45" spans="1:163" ht="23.45" customHeight="1">
      <c r="A45" s="74"/>
      <c r="B45" s="100"/>
      <c r="C45" s="100"/>
      <c r="D45" s="100"/>
      <c r="E45" s="100"/>
      <c r="F45" s="911"/>
      <c r="G45" s="912"/>
      <c r="H45" s="913"/>
      <c r="I45" s="918"/>
      <c r="J45" s="753" t="s">
        <v>66</v>
      </c>
      <c r="K45" s="753"/>
      <c r="L45" s="753"/>
      <c r="M45" s="753"/>
      <c r="N45" s="413"/>
      <c r="O45" s="877" t="str">
        <f>IF(OR('07nen'!$R$19&gt;0,'07nen'!$Q$19="対象"),IF('07nen'!$D$19="","",'07nen'!$D$19),"")</f>
        <v/>
      </c>
      <c r="P45" s="877"/>
      <c r="Q45" s="877"/>
      <c r="R45" s="877"/>
      <c r="S45" s="877"/>
      <c r="T45" s="877"/>
      <c r="U45" s="877"/>
      <c r="V45" s="125"/>
      <c r="W45" s="125"/>
      <c r="X45" s="877" t="str">
        <f>IF(OR('07nen'!$R$19&gt;0,'07nen'!$Q$19="対象"),IF('07nen'!$E$19="","",'07nen'!$E$19),"")</f>
        <v/>
      </c>
      <c r="Y45" s="877"/>
      <c r="Z45" s="877"/>
      <c r="AA45" s="877"/>
      <c r="AB45" s="877"/>
      <c r="AC45" s="877"/>
      <c r="AD45" s="877"/>
      <c r="AE45" s="404"/>
      <c r="AF45" s="925"/>
      <c r="AG45" s="925"/>
      <c r="AH45" s="927"/>
      <c r="AI45" s="927"/>
      <c r="AJ45" s="926"/>
      <c r="AK45" s="926"/>
      <c r="AL45" s="911"/>
      <c r="AM45" s="912"/>
      <c r="AN45" s="913"/>
      <c r="AO45" s="935"/>
      <c r="AP45" s="753" t="s">
        <v>66</v>
      </c>
      <c r="AQ45" s="753"/>
      <c r="AR45" s="753"/>
      <c r="AS45" s="753"/>
      <c r="AT45" s="413"/>
      <c r="AU45" s="877" t="str">
        <f>IF('07nen'!$Q$25="対象",IF('07nen'!$D$25="","",'07nen'!$D$25),"")</f>
        <v/>
      </c>
      <c r="AV45" s="877"/>
      <c r="AW45" s="877"/>
      <c r="AX45" s="877"/>
      <c r="AY45" s="877"/>
      <c r="AZ45" s="877"/>
      <c r="BA45" s="877"/>
      <c r="BB45" s="125"/>
      <c r="BC45" s="125"/>
      <c r="BD45" s="877" t="str">
        <f>IF('07nen'!$Q$25="対象",IF('07nen'!$E$25="","",'07nen'!$E$25),"")</f>
        <v/>
      </c>
      <c r="BE45" s="877"/>
      <c r="BF45" s="877"/>
      <c r="BG45" s="877"/>
      <c r="BH45" s="877"/>
      <c r="BI45" s="877"/>
      <c r="BJ45" s="877"/>
      <c r="BK45" s="404"/>
      <c r="BL45" s="925"/>
      <c r="BM45" s="925"/>
      <c r="BN45" s="926"/>
      <c r="BO45" s="926"/>
      <c r="BP45" s="926"/>
      <c r="BQ45" s="926"/>
      <c r="BR45" s="946" t="s">
        <v>353</v>
      </c>
      <c r="BS45" s="947"/>
      <c r="BT45" s="947"/>
      <c r="BU45" s="947"/>
      <c r="BV45" s="947"/>
      <c r="BW45" s="947"/>
      <c r="BX45" s="947"/>
      <c r="BY45" s="947"/>
      <c r="BZ45" s="947"/>
      <c r="CA45" s="948"/>
      <c r="CB45" s="118"/>
      <c r="CG45" s="121"/>
      <c r="CH45" s="121"/>
      <c r="CI45" s="1223"/>
      <c r="CJ45" s="1224"/>
      <c r="CK45" s="1225"/>
      <c r="CL45" s="1230"/>
      <c r="CM45" s="753" t="s">
        <v>66</v>
      </c>
      <c r="CN45" s="753"/>
      <c r="CO45" s="753"/>
      <c r="CP45" s="753"/>
      <c r="CQ45" s="413"/>
      <c r="CR45" s="877" t="str">
        <f>IF(OR('07nen'!$R$19&gt;0,'07nen'!$Q$19="対象"),IF('07nen'!$D$19="","",'07nen'!$D$19),"")</f>
        <v/>
      </c>
      <c r="CS45" s="877"/>
      <c r="CT45" s="877"/>
      <c r="CU45" s="877"/>
      <c r="CV45" s="877"/>
      <c r="CW45" s="877"/>
      <c r="CX45" s="877"/>
      <c r="CY45" s="125"/>
      <c r="CZ45" s="125"/>
      <c r="DA45" s="877" t="str">
        <f>IF(OR('07nen'!$R$19&gt;0,'07nen'!$Q$19="対象"),IF('07nen'!$E$19="","",'07nen'!$E$19),"")</f>
        <v/>
      </c>
      <c r="DB45" s="877"/>
      <c r="DC45" s="877"/>
      <c r="DD45" s="877"/>
      <c r="DE45" s="877"/>
      <c r="DF45" s="877"/>
      <c r="DG45" s="877"/>
      <c r="DH45" s="404"/>
      <c r="DI45" s="925"/>
      <c r="DJ45" s="925"/>
      <c r="DK45" s="927"/>
      <c r="DL45" s="927"/>
      <c r="DM45" s="926"/>
      <c r="DN45" s="926"/>
      <c r="DO45" s="1223"/>
      <c r="DP45" s="1224"/>
      <c r="DQ45" s="1225"/>
      <c r="DR45" s="1230"/>
      <c r="DS45" s="753" t="s">
        <v>66</v>
      </c>
      <c r="DT45" s="753"/>
      <c r="DU45" s="753"/>
      <c r="DV45" s="753"/>
      <c r="DW45" s="413"/>
      <c r="DX45" s="877" t="str">
        <f>IF('07nen'!$Q$25="対象",IF('07nen'!$D$25="","",'07nen'!$D$25),"")</f>
        <v/>
      </c>
      <c r="DY45" s="877"/>
      <c r="DZ45" s="877"/>
      <c r="EA45" s="877"/>
      <c r="EB45" s="877"/>
      <c r="EC45" s="877"/>
      <c r="ED45" s="877"/>
      <c r="EE45" s="125"/>
      <c r="EF45" s="125"/>
      <c r="EG45" s="877" t="str">
        <f>IF('07nen'!$Q$25="対象",IF('07nen'!$E$25="","",'07nen'!$E$25),"")</f>
        <v/>
      </c>
      <c r="EH45" s="877"/>
      <c r="EI45" s="877"/>
      <c r="EJ45" s="877"/>
      <c r="EK45" s="877"/>
      <c r="EL45" s="877"/>
      <c r="EM45" s="877"/>
      <c r="EN45" s="404"/>
      <c r="EO45" s="925"/>
      <c r="EP45" s="925"/>
      <c r="EQ45" s="926"/>
      <c r="ER45" s="926"/>
      <c r="ES45" s="926"/>
      <c r="ET45" s="926"/>
      <c r="EU45" s="1214"/>
      <c r="EV45" s="1215"/>
      <c r="EW45" s="1215"/>
      <c r="EX45" s="1215"/>
      <c r="EY45" s="1215"/>
      <c r="EZ45" s="1215"/>
      <c r="FA45" s="1215"/>
      <c r="FB45" s="1215"/>
      <c r="FC45" s="1215"/>
      <c r="FD45" s="1216"/>
      <c r="FE45" s="126"/>
      <c r="FF45" s="121"/>
      <c r="FG45" s="121"/>
    </row>
    <row r="46" spans="1:163" ht="24">
      <c r="A46" s="74"/>
      <c r="B46" s="100"/>
      <c r="C46" s="100"/>
      <c r="D46" s="100"/>
      <c r="E46" s="100"/>
      <c r="F46" s="911"/>
      <c r="G46" s="912"/>
      <c r="H46" s="913"/>
      <c r="I46" s="919"/>
      <c r="J46" s="929" t="s">
        <v>219</v>
      </c>
      <c r="K46" s="929"/>
      <c r="L46" s="929"/>
      <c r="M46" s="930"/>
      <c r="N46" s="931" t="str">
        <f>IF(OR('07nen'!$R$19&gt;0,'07nen'!$Q$19="対象"),IF('07nen'!$H$19="","",(MIDB('07nen'!$H$19+1000000000000,2,1))),"")</f>
        <v/>
      </c>
      <c r="O46" s="931"/>
      <c r="P46" s="931" t="str">
        <f>IF($N$46="","",(MIDB('07nen'!$H$19+1000000000000,3,1)))</f>
        <v/>
      </c>
      <c r="Q46" s="931"/>
      <c r="R46" s="931" t="str">
        <f>IF($N$46="","",(MIDB('07nen'!$H$19+1000000000000,4,1)))</f>
        <v/>
      </c>
      <c r="S46" s="931"/>
      <c r="T46" s="931" t="str">
        <f>IF($N$46="","",(MIDB('07nen'!$H$19+1000000000000,5,1)))</f>
        <v/>
      </c>
      <c r="U46" s="931"/>
      <c r="V46" s="931" t="str">
        <f>IF($N$46="","",(MIDB('07nen'!$H$19+1000000000000,6,1)))</f>
        <v/>
      </c>
      <c r="W46" s="931"/>
      <c r="X46" s="931" t="str">
        <f>IF($N$46="","",(MIDB('07nen'!$H$19+1000000000000,7,1)))</f>
        <v/>
      </c>
      <c r="Y46" s="931"/>
      <c r="Z46" s="931" t="str">
        <f>IF($N$46="","",(MIDB('07nen'!$H$19+1000000000000,8,1)))</f>
        <v/>
      </c>
      <c r="AA46" s="931"/>
      <c r="AB46" s="931" t="str">
        <f>IF($N$46="","",(MIDB('07nen'!$H$19+1000000000000,9,1)))</f>
        <v/>
      </c>
      <c r="AC46" s="931"/>
      <c r="AD46" s="931" t="str">
        <f>IF($N$46="","",(MIDB('07nen'!$H$19+1000000000000,10,1)))</f>
        <v/>
      </c>
      <c r="AE46" s="931"/>
      <c r="AF46" s="931" t="str">
        <f>IF($N$46="","",(MIDB('07nen'!$H$19+1000000000000,11,1)))</f>
        <v/>
      </c>
      <c r="AG46" s="931"/>
      <c r="AH46" s="931" t="str">
        <f>IF($N$46="","",(MIDB('07nen'!$H$19+1000000000000,12,1)))</f>
        <v/>
      </c>
      <c r="AI46" s="931"/>
      <c r="AJ46" s="931" t="str">
        <f>IF($N$46="","",(MIDB('07nen'!$H$19+1000000000000,13,1)))</f>
        <v/>
      </c>
      <c r="AK46" s="931"/>
      <c r="AL46" s="911"/>
      <c r="AM46" s="912"/>
      <c r="AN46" s="913"/>
      <c r="AO46" s="935"/>
      <c r="AP46" s="929" t="s">
        <v>219</v>
      </c>
      <c r="AQ46" s="929"/>
      <c r="AR46" s="929"/>
      <c r="AS46" s="930"/>
      <c r="AT46" s="931" t="str">
        <f>IF('07nen'!$Q$25="対象",IF('07nen'!$H$25="","",(MIDB('07nen'!$H$25+1000000000000,2,1))),"")</f>
        <v/>
      </c>
      <c r="AU46" s="931"/>
      <c r="AV46" s="931" t="str">
        <f>IF($AT$46="","",(MIDB('07nen'!$H$25+1000000000000,3,1)))</f>
        <v/>
      </c>
      <c r="AW46" s="931"/>
      <c r="AX46" s="931" t="str">
        <f>IF($AT$46="","",(MIDB('07nen'!$H$25+1000000000000,4,1)))</f>
        <v/>
      </c>
      <c r="AY46" s="931"/>
      <c r="AZ46" s="931" t="str">
        <f>IF($AT$46="","",(MIDB('07nen'!$H$25+1000000000000,5,1)))</f>
        <v/>
      </c>
      <c r="BA46" s="931"/>
      <c r="BB46" s="931" t="str">
        <f>IF($AT$46="","",(MIDB('07nen'!$H$25+1000000000000,6,1)))</f>
        <v/>
      </c>
      <c r="BC46" s="931"/>
      <c r="BD46" s="931" t="str">
        <f>IF($AT$46="","",(MIDB('07nen'!$H$25+1000000000000,7,1)))</f>
        <v/>
      </c>
      <c r="BE46" s="931"/>
      <c r="BF46" s="931" t="str">
        <f>IF($AT$46="","",(MIDB('07nen'!$H$25+1000000000000,8,1)))</f>
        <v/>
      </c>
      <c r="BG46" s="931"/>
      <c r="BH46" s="931" t="str">
        <f>IF($AT$46="","",(MIDB('07nen'!$H$25+1000000000000,9,1)))</f>
        <v/>
      </c>
      <c r="BI46" s="931"/>
      <c r="BJ46" s="931" t="str">
        <f>IF($AT$46="","",(MIDB('07nen'!$H$25+1000000000000,10,1)))</f>
        <v/>
      </c>
      <c r="BK46" s="931"/>
      <c r="BL46" s="931" t="str">
        <f>IF($AT$46="","",(MIDB('07nen'!$H$25+1000000000000,11,1)))</f>
        <v/>
      </c>
      <c r="BM46" s="931"/>
      <c r="BN46" s="931" t="str">
        <f>IF($AT$46="","",(MIDB('07nen'!$H$25+1000000000000,12,1)))</f>
        <v/>
      </c>
      <c r="BO46" s="931"/>
      <c r="BP46" s="931" t="str">
        <f>IF($AT$46="","",(MIDB('07nen'!$H$25+1000000000000,13,1)))</f>
        <v/>
      </c>
      <c r="BQ46" s="931"/>
      <c r="BR46" s="932" t="str">
        <f>IF('07nen'!$AB$44="","","("&amp;'07nen'!$AA$44&amp;") "&amp;RIGHTB('07nen'!$H$67+10000000000000,12))</f>
        <v/>
      </c>
      <c r="BS46" s="933"/>
      <c r="BT46" s="933"/>
      <c r="BU46" s="933"/>
      <c r="BV46" s="933"/>
      <c r="BW46" s="933"/>
      <c r="BX46" s="933"/>
      <c r="BY46" s="933"/>
      <c r="BZ46" s="933"/>
      <c r="CA46" s="934"/>
      <c r="CB46" s="118"/>
      <c r="CG46" s="121"/>
      <c r="CH46" s="121"/>
      <c r="CI46" s="1223"/>
      <c r="CJ46" s="1224"/>
      <c r="CK46" s="1225"/>
      <c r="CL46" s="1231"/>
      <c r="CM46" s="1207"/>
      <c r="CN46" s="1208"/>
      <c r="CO46" s="1208"/>
      <c r="CP46" s="1208"/>
      <c r="CQ46" s="1208"/>
      <c r="CR46" s="1208"/>
      <c r="CS46" s="1208"/>
      <c r="CT46" s="1208"/>
      <c r="CU46" s="1208"/>
      <c r="CV46" s="1208"/>
      <c r="CW46" s="1208"/>
      <c r="CX46" s="1208"/>
      <c r="CY46" s="1208"/>
      <c r="CZ46" s="1208"/>
      <c r="DA46" s="1208"/>
      <c r="DB46" s="1208"/>
      <c r="DC46" s="1208"/>
      <c r="DD46" s="1208"/>
      <c r="DE46" s="1208"/>
      <c r="DF46" s="1208"/>
      <c r="DG46" s="1208"/>
      <c r="DH46" s="1208"/>
      <c r="DI46" s="1208"/>
      <c r="DJ46" s="1208"/>
      <c r="DK46" s="1208"/>
      <c r="DL46" s="1208"/>
      <c r="DM46" s="1208"/>
      <c r="DN46" s="1209"/>
      <c r="DO46" s="1223"/>
      <c r="DP46" s="1224"/>
      <c r="DQ46" s="1225"/>
      <c r="DR46" s="1231"/>
      <c r="DS46" s="1207"/>
      <c r="DT46" s="1208"/>
      <c r="DU46" s="1208"/>
      <c r="DV46" s="1208"/>
      <c r="DW46" s="1208"/>
      <c r="DX46" s="1208"/>
      <c r="DY46" s="1208"/>
      <c r="DZ46" s="1208"/>
      <c r="EA46" s="1208"/>
      <c r="EB46" s="1208"/>
      <c r="EC46" s="1208"/>
      <c r="ED46" s="1208"/>
      <c r="EE46" s="1208"/>
      <c r="EF46" s="1208"/>
      <c r="EG46" s="1208"/>
      <c r="EH46" s="1208"/>
      <c r="EI46" s="1208"/>
      <c r="EJ46" s="1208"/>
      <c r="EK46" s="1208"/>
      <c r="EL46" s="1208"/>
      <c r="EM46" s="1208"/>
      <c r="EN46" s="1208"/>
      <c r="EO46" s="1208"/>
      <c r="EP46" s="1208"/>
      <c r="EQ46" s="1208"/>
      <c r="ER46" s="1208"/>
      <c r="ES46" s="1208"/>
      <c r="ET46" s="1209"/>
      <c r="EU46" s="1214"/>
      <c r="EV46" s="1215"/>
      <c r="EW46" s="1215"/>
      <c r="EX46" s="1215"/>
      <c r="EY46" s="1215"/>
      <c r="EZ46" s="1215"/>
      <c r="FA46" s="1215"/>
      <c r="FB46" s="1215"/>
      <c r="FC46" s="1215"/>
      <c r="FD46" s="1216"/>
      <c r="FE46" s="126"/>
      <c r="FF46" s="121"/>
      <c r="FG46" s="121"/>
    </row>
    <row r="47" spans="1:163" ht="23.45" customHeight="1">
      <c r="A47" s="74"/>
      <c r="B47" s="100"/>
      <c r="C47" s="100"/>
      <c r="D47" s="100"/>
      <c r="E47" s="100"/>
      <c r="F47" s="911"/>
      <c r="G47" s="912"/>
      <c r="H47" s="913"/>
      <c r="I47" s="917">
        <v>4</v>
      </c>
      <c r="J47" s="920" t="s">
        <v>221</v>
      </c>
      <c r="K47" s="920"/>
      <c r="L47" s="920"/>
      <c r="M47" s="920"/>
      <c r="N47" s="409"/>
      <c r="O47" s="922" t="str">
        <f>+IF(OR('07nen'!$R$20&gt;0,'07nen'!$Q$20="対象"),IF('07nen'!$F$20="","",'07nen'!$F$20),"")</f>
        <v/>
      </c>
      <c r="P47" s="922"/>
      <c r="Q47" s="922"/>
      <c r="R47" s="922"/>
      <c r="S47" s="922"/>
      <c r="T47" s="922"/>
      <c r="U47" s="922"/>
      <c r="V47" s="410"/>
      <c r="W47" s="410"/>
      <c r="X47" s="922" t="str">
        <f>IF(OR('07nen'!$R$20&gt;0,'07nen'!$Q$20="対象"),IF('07nen'!$G$20="","",'07nen'!$G$20),"")</f>
        <v/>
      </c>
      <c r="Y47" s="922"/>
      <c r="Z47" s="922"/>
      <c r="AA47" s="922"/>
      <c r="AB47" s="922"/>
      <c r="AC47" s="922"/>
      <c r="AD47" s="922"/>
      <c r="AE47" s="411"/>
      <c r="AF47" s="923" t="s">
        <v>220</v>
      </c>
      <c r="AG47" s="924"/>
      <c r="AH47" s="926" t="str">
        <f>IF(OR('07nen'!$R$20&gt;0,'07nen'!$Q$20="対象"),IF(AND('07nen'!$R$20=0,'07nen'!$P$20="－"),"",MAX('07nen'!$R$20,'07nen'!$P$20)),"")</f>
        <v/>
      </c>
      <c r="AI47" s="926"/>
      <c r="AJ47" s="926"/>
      <c r="AK47" s="926"/>
      <c r="AL47" s="911"/>
      <c r="AM47" s="912"/>
      <c r="AN47" s="913"/>
      <c r="AO47" s="935">
        <v>4</v>
      </c>
      <c r="AP47" s="920" t="s">
        <v>221</v>
      </c>
      <c r="AQ47" s="920"/>
      <c r="AR47" s="920"/>
      <c r="AS47" s="920"/>
      <c r="AT47" s="409"/>
      <c r="AU47" s="922" t="str">
        <f>IF('07nen'!$Q$26="対象",IF('07nen'!$F$26="","",'07nen'!$F$26),"")</f>
        <v/>
      </c>
      <c r="AV47" s="922"/>
      <c r="AW47" s="922"/>
      <c r="AX47" s="922"/>
      <c r="AY47" s="922"/>
      <c r="AZ47" s="922"/>
      <c r="BA47" s="922"/>
      <c r="BB47" s="410"/>
      <c r="BC47" s="410"/>
      <c r="BD47" s="922" t="str">
        <f>IF('07nen'!$Q$26="対象",IF('07nen'!$G$26="","",'07nen'!$G$26),"")</f>
        <v/>
      </c>
      <c r="BE47" s="922"/>
      <c r="BF47" s="922"/>
      <c r="BG47" s="922"/>
      <c r="BH47" s="922"/>
      <c r="BI47" s="922"/>
      <c r="BJ47" s="922"/>
      <c r="BK47" s="411"/>
      <c r="BL47" s="923" t="s">
        <v>220</v>
      </c>
      <c r="BM47" s="924"/>
      <c r="BN47" s="926" t="str">
        <f>IF('07nen'!$Q$26="対象",IF('07nen'!$P$26="－","",'07nen'!$P$26),"")</f>
        <v/>
      </c>
      <c r="BO47" s="926"/>
      <c r="BP47" s="926"/>
      <c r="BQ47" s="926"/>
      <c r="BR47" s="932" t="str">
        <f>IF('07nen'!$AB$45="","","("&amp;'07nen'!$AA$45&amp;") "&amp;RIGHTB('07nen'!$H$68+10000000000000,12))</f>
        <v/>
      </c>
      <c r="BS47" s="933"/>
      <c r="BT47" s="933"/>
      <c r="BU47" s="933"/>
      <c r="BV47" s="933"/>
      <c r="BW47" s="933"/>
      <c r="BX47" s="933"/>
      <c r="BY47" s="933"/>
      <c r="BZ47" s="933"/>
      <c r="CA47" s="934"/>
      <c r="CB47" s="118"/>
      <c r="CG47" s="121"/>
      <c r="CH47" s="121"/>
      <c r="CI47" s="1223"/>
      <c r="CJ47" s="1224"/>
      <c r="CK47" s="1225"/>
      <c r="CL47" s="1229">
        <v>4</v>
      </c>
      <c r="CM47" s="920" t="s">
        <v>221</v>
      </c>
      <c r="CN47" s="920"/>
      <c r="CO47" s="920"/>
      <c r="CP47" s="920"/>
      <c r="CQ47" s="409"/>
      <c r="CR47" s="922" t="str">
        <f>+IF(OR('07nen'!$R$20&gt;0,'07nen'!$Q$20="対象"),IF('07nen'!$F$20="","",'07nen'!$F$20),"")</f>
        <v/>
      </c>
      <c r="CS47" s="922"/>
      <c r="CT47" s="922"/>
      <c r="CU47" s="922"/>
      <c r="CV47" s="922"/>
      <c r="CW47" s="922"/>
      <c r="CX47" s="922"/>
      <c r="CY47" s="410"/>
      <c r="CZ47" s="410"/>
      <c r="DA47" s="922" t="str">
        <f>IF(OR('07nen'!$R$20&gt;0,'07nen'!$Q$20="対象"),IF('07nen'!$G$20="","",'07nen'!$G$20),"")</f>
        <v/>
      </c>
      <c r="DB47" s="922"/>
      <c r="DC47" s="922"/>
      <c r="DD47" s="922"/>
      <c r="DE47" s="922"/>
      <c r="DF47" s="922"/>
      <c r="DG47" s="922"/>
      <c r="DH47" s="411"/>
      <c r="DI47" s="923" t="s">
        <v>220</v>
      </c>
      <c r="DJ47" s="924"/>
      <c r="DK47" s="926" t="str">
        <f>IF(OR('07nen'!$R$20&gt;0,'07nen'!$Q$20="対象"),IF(AND('07nen'!$R$20=0,'07nen'!$P$20="－"),"",MAX('07nen'!$R$20,'07nen'!$P$20)),"")</f>
        <v/>
      </c>
      <c r="DL47" s="926"/>
      <c r="DM47" s="926"/>
      <c r="DN47" s="926"/>
      <c r="DO47" s="1223"/>
      <c r="DP47" s="1224"/>
      <c r="DQ47" s="1225"/>
      <c r="DR47" s="1229">
        <v>4</v>
      </c>
      <c r="DS47" s="920" t="s">
        <v>221</v>
      </c>
      <c r="DT47" s="920"/>
      <c r="DU47" s="920"/>
      <c r="DV47" s="920"/>
      <c r="DW47" s="409"/>
      <c r="DX47" s="922" t="str">
        <f>IF('07nen'!$Q$26="対象",IF('07nen'!$F$26="","",'07nen'!$F$26),"")</f>
        <v/>
      </c>
      <c r="DY47" s="922"/>
      <c r="DZ47" s="922"/>
      <c r="EA47" s="922"/>
      <c r="EB47" s="922"/>
      <c r="EC47" s="922"/>
      <c r="ED47" s="922"/>
      <c r="EE47" s="410"/>
      <c r="EF47" s="410"/>
      <c r="EG47" s="922" t="str">
        <f>IF('07nen'!$Q$26="対象",IF('07nen'!$G$26="","",'07nen'!$G$26),"")</f>
        <v/>
      </c>
      <c r="EH47" s="922"/>
      <c r="EI47" s="922"/>
      <c r="EJ47" s="922"/>
      <c r="EK47" s="922"/>
      <c r="EL47" s="922"/>
      <c r="EM47" s="922"/>
      <c r="EN47" s="411"/>
      <c r="EO47" s="923" t="s">
        <v>220</v>
      </c>
      <c r="EP47" s="924"/>
      <c r="EQ47" s="926" t="str">
        <f>IF('07nen'!$Q$26="対象",IF('07nen'!$P$26="－","",'07nen'!$P$26),"")</f>
        <v/>
      </c>
      <c r="ER47" s="926"/>
      <c r="ES47" s="926"/>
      <c r="ET47" s="926"/>
      <c r="EU47" s="1214"/>
      <c r="EV47" s="1215"/>
      <c r="EW47" s="1215"/>
      <c r="EX47" s="1215"/>
      <c r="EY47" s="1215"/>
      <c r="EZ47" s="1215"/>
      <c r="FA47" s="1215"/>
      <c r="FB47" s="1215"/>
      <c r="FC47" s="1215"/>
      <c r="FD47" s="1216"/>
      <c r="FE47" s="126"/>
      <c r="FF47" s="121"/>
      <c r="FG47" s="121"/>
    </row>
    <row r="48" spans="1:163" ht="23.45" customHeight="1">
      <c r="A48" s="74"/>
      <c r="B48" s="100"/>
      <c r="C48" s="100"/>
      <c r="D48" s="100"/>
      <c r="E48" s="100"/>
      <c r="F48" s="911"/>
      <c r="G48" s="912"/>
      <c r="H48" s="913"/>
      <c r="I48" s="918"/>
      <c r="J48" s="753" t="s">
        <v>66</v>
      </c>
      <c r="K48" s="753"/>
      <c r="L48" s="753"/>
      <c r="M48" s="753"/>
      <c r="N48" s="413"/>
      <c r="O48" s="877" t="str">
        <f>IF(OR('07nen'!$R$20&gt;0,'07nen'!$Q$20="対象"),IF('07nen'!$D$20="","",'07nen'!$D$20),"")</f>
        <v/>
      </c>
      <c r="P48" s="877"/>
      <c r="Q48" s="877"/>
      <c r="R48" s="877"/>
      <c r="S48" s="877"/>
      <c r="T48" s="877"/>
      <c r="U48" s="877"/>
      <c r="V48" s="125"/>
      <c r="W48" s="125"/>
      <c r="X48" s="877" t="str">
        <f>IF(OR('07nen'!$R$20&gt;0,'07nen'!$Q$20="対象"),IF('07nen'!$E$20="","",'07nen'!$E$20),"")</f>
        <v/>
      </c>
      <c r="Y48" s="877"/>
      <c r="Z48" s="877"/>
      <c r="AA48" s="877"/>
      <c r="AB48" s="877"/>
      <c r="AC48" s="877"/>
      <c r="AD48" s="877"/>
      <c r="AE48" s="404"/>
      <c r="AF48" s="925"/>
      <c r="AG48" s="925"/>
      <c r="AH48" s="927"/>
      <c r="AI48" s="927"/>
      <c r="AJ48" s="926"/>
      <c r="AK48" s="926"/>
      <c r="AL48" s="911"/>
      <c r="AM48" s="912"/>
      <c r="AN48" s="913"/>
      <c r="AO48" s="935"/>
      <c r="AP48" s="753" t="s">
        <v>66</v>
      </c>
      <c r="AQ48" s="753"/>
      <c r="AR48" s="753"/>
      <c r="AS48" s="753"/>
      <c r="AT48" s="413"/>
      <c r="AU48" s="877" t="str">
        <f>IF('07nen'!$Q$26="対象",IF('07nen'!$D$26="","",'07nen'!$D$26),"")</f>
        <v/>
      </c>
      <c r="AV48" s="877"/>
      <c r="AW48" s="877"/>
      <c r="AX48" s="877"/>
      <c r="AY48" s="877"/>
      <c r="AZ48" s="877"/>
      <c r="BA48" s="877"/>
      <c r="BB48" s="125"/>
      <c r="BC48" s="125"/>
      <c r="BD48" s="877" t="str">
        <f>IF('07nen'!$Q$26="対象",IF('07nen'!$E$26="","",'07nen'!$E$26),"")</f>
        <v/>
      </c>
      <c r="BE48" s="877"/>
      <c r="BF48" s="877"/>
      <c r="BG48" s="877"/>
      <c r="BH48" s="877"/>
      <c r="BI48" s="877"/>
      <c r="BJ48" s="877"/>
      <c r="BK48" s="404"/>
      <c r="BL48" s="925"/>
      <c r="BM48" s="925"/>
      <c r="BN48" s="927"/>
      <c r="BO48" s="927"/>
      <c r="BP48" s="926"/>
      <c r="BQ48" s="926"/>
      <c r="BR48" s="932" t="str">
        <f>IF('07nen'!$AB$46="","","("&amp;'07nen'!$AA$46&amp;") "&amp;RIGHTB('07nen'!$H$69+10000000000000,12))</f>
        <v/>
      </c>
      <c r="BS48" s="933"/>
      <c r="BT48" s="933"/>
      <c r="BU48" s="933"/>
      <c r="BV48" s="933"/>
      <c r="BW48" s="933"/>
      <c r="BX48" s="933"/>
      <c r="BY48" s="933"/>
      <c r="BZ48" s="933"/>
      <c r="CA48" s="934"/>
      <c r="CB48" s="118"/>
      <c r="CG48" s="121"/>
      <c r="CH48" s="121"/>
      <c r="CI48" s="1223"/>
      <c r="CJ48" s="1224"/>
      <c r="CK48" s="1225"/>
      <c r="CL48" s="1230"/>
      <c r="CM48" s="753" t="s">
        <v>66</v>
      </c>
      <c r="CN48" s="753"/>
      <c r="CO48" s="753"/>
      <c r="CP48" s="753"/>
      <c r="CQ48" s="413"/>
      <c r="CR48" s="877" t="str">
        <f>IF(OR('07nen'!$R$20&gt;0,'07nen'!$Q$20="対象"),IF('07nen'!$D$20="","",'07nen'!$D$20),"")</f>
        <v/>
      </c>
      <c r="CS48" s="877"/>
      <c r="CT48" s="877"/>
      <c r="CU48" s="877"/>
      <c r="CV48" s="877"/>
      <c r="CW48" s="877"/>
      <c r="CX48" s="877"/>
      <c r="CY48" s="125"/>
      <c r="CZ48" s="125"/>
      <c r="DA48" s="877" t="str">
        <f>IF(OR('07nen'!$R$20&gt;0,'07nen'!$Q$20="対象"),IF('07nen'!$E$20="","",'07nen'!$E$20),"")</f>
        <v/>
      </c>
      <c r="DB48" s="877"/>
      <c r="DC48" s="877"/>
      <c r="DD48" s="877"/>
      <c r="DE48" s="877"/>
      <c r="DF48" s="877"/>
      <c r="DG48" s="877"/>
      <c r="DH48" s="404"/>
      <c r="DI48" s="925"/>
      <c r="DJ48" s="925"/>
      <c r="DK48" s="927"/>
      <c r="DL48" s="927"/>
      <c r="DM48" s="926"/>
      <c r="DN48" s="926"/>
      <c r="DO48" s="1223"/>
      <c r="DP48" s="1224"/>
      <c r="DQ48" s="1225"/>
      <c r="DR48" s="1230"/>
      <c r="DS48" s="753" t="s">
        <v>66</v>
      </c>
      <c r="DT48" s="753"/>
      <c r="DU48" s="753"/>
      <c r="DV48" s="753"/>
      <c r="DW48" s="413"/>
      <c r="DX48" s="877" t="str">
        <f>IF('07nen'!$Q$26="対象",IF('07nen'!$D$26="","",'07nen'!$D$26),"")</f>
        <v/>
      </c>
      <c r="DY48" s="877"/>
      <c r="DZ48" s="877"/>
      <c r="EA48" s="877"/>
      <c r="EB48" s="877"/>
      <c r="EC48" s="877"/>
      <c r="ED48" s="877"/>
      <c r="EE48" s="125"/>
      <c r="EF48" s="125"/>
      <c r="EG48" s="877" t="str">
        <f>IF('07nen'!$Q$26="対象",IF('07nen'!$E$26="","",'07nen'!$E$26),"")</f>
        <v/>
      </c>
      <c r="EH48" s="877"/>
      <c r="EI48" s="877"/>
      <c r="EJ48" s="877"/>
      <c r="EK48" s="877"/>
      <c r="EL48" s="877"/>
      <c r="EM48" s="877"/>
      <c r="EN48" s="404"/>
      <c r="EO48" s="925"/>
      <c r="EP48" s="925"/>
      <c r="EQ48" s="927"/>
      <c r="ER48" s="927"/>
      <c r="ES48" s="926"/>
      <c r="ET48" s="926"/>
      <c r="EU48" s="1214"/>
      <c r="EV48" s="1215"/>
      <c r="EW48" s="1215"/>
      <c r="EX48" s="1215"/>
      <c r="EY48" s="1215"/>
      <c r="EZ48" s="1215"/>
      <c r="FA48" s="1215"/>
      <c r="FB48" s="1215"/>
      <c r="FC48" s="1215"/>
      <c r="FD48" s="1216"/>
      <c r="FE48" s="126"/>
      <c r="FF48" s="121"/>
      <c r="FG48" s="121"/>
    </row>
    <row r="49" spans="1:163" ht="24.75" thickBot="1">
      <c r="A49" s="74"/>
      <c r="B49" s="100"/>
      <c r="C49" s="100"/>
      <c r="F49" s="914"/>
      <c r="G49" s="915"/>
      <c r="H49" s="916"/>
      <c r="I49" s="919"/>
      <c r="J49" s="929" t="s">
        <v>219</v>
      </c>
      <c r="K49" s="929"/>
      <c r="L49" s="929"/>
      <c r="M49" s="930"/>
      <c r="N49" s="931" t="str">
        <f>IF(OR('07nen'!$R$20&gt;0,'07nen'!$Q$20="対象"),IF('07nen'!$H$20="","",(MIDB('07nen'!$H$20+1000000000000,2,1))),"")</f>
        <v/>
      </c>
      <c r="O49" s="931"/>
      <c r="P49" s="931" t="str">
        <f>IF($N$49="","",(MIDB('07nen'!$H$20+1000000000000,3,1)))</f>
        <v/>
      </c>
      <c r="Q49" s="931"/>
      <c r="R49" s="931" t="str">
        <f>IF($N$49="","",(MIDB('07nen'!$H$20+1000000000000,4,1)))</f>
        <v/>
      </c>
      <c r="S49" s="931"/>
      <c r="T49" s="931" t="str">
        <f>IF($N$49="","",(MIDB('07nen'!$H$20+1000000000000,5,1)))</f>
        <v/>
      </c>
      <c r="U49" s="950"/>
      <c r="V49" s="950" t="str">
        <f>IF($N$49="","",(MIDB('07nen'!$H$20+1000000000000,6,1)))</f>
        <v/>
      </c>
      <c r="W49" s="950"/>
      <c r="X49" s="950" t="str">
        <f>IF($N$49="","",(MIDB('07nen'!$H$20+1000000000000,7,1)))</f>
        <v/>
      </c>
      <c r="Y49" s="950"/>
      <c r="Z49" s="950" t="str">
        <f>IF($N$49="","",(MIDB('07nen'!$H$20+1000000000000,8,1)))</f>
        <v/>
      </c>
      <c r="AA49" s="950"/>
      <c r="AB49" s="950" t="str">
        <f>IF($N$49="","",(MIDB('07nen'!$H$20+1000000000000,9,1)))</f>
        <v/>
      </c>
      <c r="AC49" s="950"/>
      <c r="AD49" s="950" t="str">
        <f>IF($N$49="","",(MIDB('07nen'!$H$20+1000000000000,10,1)))</f>
        <v/>
      </c>
      <c r="AE49" s="950"/>
      <c r="AF49" s="950" t="str">
        <f>IF($N$49="","",(MIDB('07nen'!$H$20+1000000000000,11,1)))</f>
        <v/>
      </c>
      <c r="AG49" s="950"/>
      <c r="AH49" s="950" t="str">
        <f>IF($N$49="","",(MIDB('07nen'!$H$20+1000000000000,12,1)))</f>
        <v/>
      </c>
      <c r="AI49" s="950"/>
      <c r="AJ49" s="950" t="str">
        <f>IF($N$49="","",(MIDB('07nen'!$H$20+1000000000000,13,1)))</f>
        <v/>
      </c>
      <c r="AK49" s="950"/>
      <c r="AL49" s="914"/>
      <c r="AM49" s="915"/>
      <c r="AN49" s="916"/>
      <c r="AO49" s="949"/>
      <c r="AP49" s="951" t="s">
        <v>219</v>
      </c>
      <c r="AQ49" s="951"/>
      <c r="AR49" s="951"/>
      <c r="AS49" s="952"/>
      <c r="AT49" s="950" t="str">
        <f>IF('07nen'!$Q$26="対象",IF('07nen'!$H$26="","",(MIDB('07nen'!$H$26+1000000000000,2,1))),"")</f>
        <v/>
      </c>
      <c r="AU49" s="950"/>
      <c r="AV49" s="950" t="str">
        <f>IF($AT$49="","",(MIDB('07nen'!$H$26+1000000000000,3,1)))</f>
        <v/>
      </c>
      <c r="AW49" s="950"/>
      <c r="AX49" s="950" t="str">
        <f>IF($AT$49="","",(MIDB('07nen'!$H$26+1000000000000,4,1)))</f>
        <v/>
      </c>
      <c r="AY49" s="950"/>
      <c r="AZ49" s="950" t="str">
        <f>IF($AT$49="","",(MIDB('07nen'!$H$26+1000000000000,5,1)))</f>
        <v/>
      </c>
      <c r="BA49" s="950"/>
      <c r="BB49" s="950" t="str">
        <f>IF($AT$49="","",(MIDB('07nen'!$H$26+1000000000000,6,1)))</f>
        <v/>
      </c>
      <c r="BC49" s="950"/>
      <c r="BD49" s="950" t="str">
        <f>IF($AT$49="","",(MIDB('07nen'!$H$26+1000000000000,7,1)))</f>
        <v/>
      </c>
      <c r="BE49" s="950"/>
      <c r="BF49" s="950" t="str">
        <f>IF($AT$49="","",(MIDB('07nen'!$H$26+1000000000000,8,1)))</f>
        <v/>
      </c>
      <c r="BG49" s="950"/>
      <c r="BH49" s="950" t="str">
        <f>IF($AT$49="","",(MIDB('07nen'!$H$26+1000000000000,9,1)))</f>
        <v/>
      </c>
      <c r="BI49" s="950"/>
      <c r="BJ49" s="950" t="str">
        <f>IF($AT$49="","",(MIDB('07nen'!$H$26+1000000000000,10,1)))</f>
        <v/>
      </c>
      <c r="BK49" s="950"/>
      <c r="BL49" s="950" t="str">
        <f>IF($AT$49="","",(MIDB('07nen'!$H$26+1000000000000,11,1)))</f>
        <v/>
      </c>
      <c r="BM49" s="950"/>
      <c r="BN49" s="950" t="str">
        <f>IF($AT$49="","",(MIDB('07nen'!$H$26+1000000000000,12,1)))</f>
        <v/>
      </c>
      <c r="BO49" s="950"/>
      <c r="BP49" s="950" t="str">
        <f>IF($AT$49="","",(MIDB('07nen'!$H$26+1000000000000,13,1)))</f>
        <v/>
      </c>
      <c r="BQ49" s="950"/>
      <c r="BR49" s="394"/>
      <c r="BS49" s="205"/>
      <c r="BT49" s="205"/>
      <c r="BU49" s="205"/>
      <c r="BV49" s="205"/>
      <c r="BW49" s="205"/>
      <c r="BX49" s="205"/>
      <c r="BY49" s="205"/>
      <c r="BZ49" s="205"/>
      <c r="CA49" s="393"/>
      <c r="CB49" s="118"/>
      <c r="CI49" s="1226"/>
      <c r="CJ49" s="1227"/>
      <c r="CK49" s="1228"/>
      <c r="CL49" s="1231"/>
      <c r="CM49" s="1207"/>
      <c r="CN49" s="1208"/>
      <c r="CO49" s="1208"/>
      <c r="CP49" s="1208"/>
      <c r="CQ49" s="1208"/>
      <c r="CR49" s="1208"/>
      <c r="CS49" s="1208"/>
      <c r="CT49" s="1208"/>
      <c r="CU49" s="1208"/>
      <c r="CV49" s="1208"/>
      <c r="CW49" s="1208"/>
      <c r="CX49" s="1208"/>
      <c r="CY49" s="1208"/>
      <c r="CZ49" s="1208"/>
      <c r="DA49" s="1208"/>
      <c r="DB49" s="1208"/>
      <c r="DC49" s="1208"/>
      <c r="DD49" s="1208"/>
      <c r="DE49" s="1208"/>
      <c r="DF49" s="1208"/>
      <c r="DG49" s="1208"/>
      <c r="DH49" s="1208"/>
      <c r="DI49" s="1208"/>
      <c r="DJ49" s="1208"/>
      <c r="DK49" s="1208"/>
      <c r="DL49" s="1208"/>
      <c r="DM49" s="1208"/>
      <c r="DN49" s="1209"/>
      <c r="DO49" s="1226"/>
      <c r="DP49" s="1227"/>
      <c r="DQ49" s="1228"/>
      <c r="DR49" s="1239"/>
      <c r="DS49" s="1207"/>
      <c r="DT49" s="1208"/>
      <c r="DU49" s="1208"/>
      <c r="DV49" s="1208"/>
      <c r="DW49" s="1208"/>
      <c r="DX49" s="1208"/>
      <c r="DY49" s="1208"/>
      <c r="DZ49" s="1208"/>
      <c r="EA49" s="1208"/>
      <c r="EB49" s="1208"/>
      <c r="EC49" s="1208"/>
      <c r="ED49" s="1208"/>
      <c r="EE49" s="1208"/>
      <c r="EF49" s="1208"/>
      <c r="EG49" s="1208"/>
      <c r="EH49" s="1208"/>
      <c r="EI49" s="1208"/>
      <c r="EJ49" s="1208"/>
      <c r="EK49" s="1208"/>
      <c r="EL49" s="1208"/>
      <c r="EM49" s="1208"/>
      <c r="EN49" s="1208"/>
      <c r="EO49" s="1208"/>
      <c r="EP49" s="1208"/>
      <c r="EQ49" s="1208"/>
      <c r="ER49" s="1208"/>
      <c r="ES49" s="1208"/>
      <c r="ET49" s="1209"/>
      <c r="EU49" s="1217"/>
      <c r="EV49" s="1218"/>
      <c r="EW49" s="1218"/>
      <c r="EX49" s="1218"/>
      <c r="EY49" s="1218"/>
      <c r="EZ49" s="1218"/>
      <c r="FA49" s="1218"/>
      <c r="FB49" s="1218"/>
      <c r="FC49" s="1218"/>
      <c r="FD49" s="1219"/>
      <c r="FE49" s="126"/>
      <c r="FF49" s="121"/>
      <c r="FG49" s="121"/>
    </row>
    <row r="50" spans="1:163" ht="23.45" customHeight="1">
      <c r="A50" s="74"/>
      <c r="B50" s="100"/>
      <c r="C50" s="100"/>
      <c r="F50" s="982" t="s">
        <v>349</v>
      </c>
      <c r="G50" s="972"/>
      <c r="H50" s="983"/>
      <c r="I50" s="955" t="s">
        <v>199</v>
      </c>
      <c r="J50" s="956"/>
      <c r="K50" s="956"/>
      <c r="L50" s="957" t="s">
        <v>350</v>
      </c>
      <c r="M50" s="957"/>
      <c r="N50" s="957"/>
      <c r="O50" s="956" t="s">
        <v>129</v>
      </c>
      <c r="P50" s="956"/>
      <c r="Q50" s="956"/>
      <c r="R50" s="958" t="s">
        <v>128</v>
      </c>
      <c r="S50" s="958"/>
      <c r="T50" s="959"/>
      <c r="U50" s="960" t="s">
        <v>355</v>
      </c>
      <c r="V50" s="961"/>
      <c r="W50" s="961"/>
      <c r="X50" s="961"/>
      <c r="Y50" s="961"/>
      <c r="Z50" s="961"/>
      <c r="AA50" s="962" t="s">
        <v>345</v>
      </c>
      <c r="AB50" s="962"/>
      <c r="AC50" s="962"/>
      <c r="AD50" s="972" t="s">
        <v>322</v>
      </c>
      <c r="AE50" s="972"/>
      <c r="AF50" s="972"/>
      <c r="AG50" s="972" t="s">
        <v>346</v>
      </c>
      <c r="AH50" s="972"/>
      <c r="AI50" s="972"/>
      <c r="AJ50" s="973"/>
      <c r="AK50" s="973"/>
      <c r="AL50" s="974"/>
      <c r="AM50" s="979" t="s">
        <v>369</v>
      </c>
      <c r="AN50" s="980"/>
      <c r="AO50" s="980"/>
      <c r="AP50" s="980"/>
      <c r="AQ50" s="980"/>
      <c r="AR50" s="980"/>
      <c r="AS50" s="980"/>
      <c r="AT50" s="980"/>
      <c r="AU50" s="980"/>
      <c r="AV50" s="980"/>
      <c r="AW50" s="980"/>
      <c r="AX50" s="980"/>
      <c r="AY50" s="980"/>
      <c r="AZ50" s="980"/>
      <c r="BA50" s="980"/>
      <c r="BB50" s="980"/>
      <c r="BC50" s="980"/>
      <c r="BD50" s="981"/>
      <c r="BE50" s="953" t="s">
        <v>58</v>
      </c>
      <c r="BF50" s="954"/>
      <c r="BG50" s="954"/>
      <c r="BH50" s="954"/>
      <c r="BI50" s="954"/>
      <c r="BJ50" s="954"/>
      <c r="BK50" s="954"/>
      <c r="BL50" s="954"/>
      <c r="BM50" s="954"/>
      <c r="BN50" s="954"/>
      <c r="BO50" s="954"/>
      <c r="BP50" s="954"/>
      <c r="BQ50" s="954"/>
      <c r="BR50" s="954"/>
      <c r="BS50" s="954"/>
      <c r="BT50" s="954"/>
      <c r="BU50" s="954"/>
      <c r="BV50" s="954"/>
      <c r="BW50" s="954"/>
      <c r="BX50" s="954"/>
      <c r="BY50" s="954"/>
      <c r="BZ50" s="954"/>
      <c r="CA50" s="954"/>
      <c r="CB50" s="118"/>
      <c r="CI50" s="1319" t="s">
        <v>349</v>
      </c>
      <c r="CJ50" s="1320"/>
      <c r="CK50" s="1321"/>
      <c r="CL50" s="1339" t="s">
        <v>199</v>
      </c>
      <c r="CM50" s="1340"/>
      <c r="CN50" s="1341"/>
      <c r="CO50" s="1319" t="s">
        <v>350</v>
      </c>
      <c r="CP50" s="1320"/>
      <c r="CQ50" s="1321"/>
      <c r="CR50" s="1339" t="s">
        <v>129</v>
      </c>
      <c r="CS50" s="1340"/>
      <c r="CT50" s="1341"/>
      <c r="CU50" s="1348" t="s">
        <v>128</v>
      </c>
      <c r="CV50" s="1349"/>
      <c r="CW50" s="1350"/>
      <c r="CX50" s="1357" t="s">
        <v>57</v>
      </c>
      <c r="CY50" s="1358"/>
      <c r="CZ50" s="1358"/>
      <c r="DA50" s="1358"/>
      <c r="DB50" s="1358"/>
      <c r="DC50" s="1359"/>
      <c r="DD50" s="1328" t="s">
        <v>345</v>
      </c>
      <c r="DE50" s="1329"/>
      <c r="DF50" s="1330"/>
      <c r="DG50" s="1319" t="s">
        <v>322</v>
      </c>
      <c r="DH50" s="1320"/>
      <c r="DI50" s="1321"/>
      <c r="DJ50" s="1319" t="s">
        <v>346</v>
      </c>
      <c r="DK50" s="1320"/>
      <c r="DL50" s="1321"/>
      <c r="DM50" s="1300"/>
      <c r="DN50" s="1301"/>
      <c r="DO50" s="1302"/>
      <c r="DP50" s="1309" t="s">
        <v>369</v>
      </c>
      <c r="DQ50" s="1089"/>
      <c r="DR50" s="1089"/>
      <c r="DS50" s="1089"/>
      <c r="DT50" s="1089"/>
      <c r="DU50" s="1089"/>
      <c r="DV50" s="1089"/>
      <c r="DW50" s="1089"/>
      <c r="DX50" s="1089"/>
      <c r="DY50" s="1089"/>
      <c r="DZ50" s="1089"/>
      <c r="EA50" s="1089"/>
      <c r="EB50" s="1089"/>
      <c r="EC50" s="1089"/>
      <c r="ED50" s="1089"/>
      <c r="EE50" s="1089"/>
      <c r="EF50" s="1089"/>
      <c r="EG50" s="1089"/>
      <c r="EH50" s="1315" t="s">
        <v>58</v>
      </c>
      <c r="EI50" s="1315"/>
      <c r="EJ50" s="1315"/>
      <c r="EK50" s="1315"/>
      <c r="EL50" s="1315"/>
      <c r="EM50" s="1315"/>
      <c r="EN50" s="1315"/>
      <c r="EO50" s="1315"/>
      <c r="EP50" s="1315"/>
      <c r="EQ50" s="1315"/>
      <c r="ER50" s="1315"/>
      <c r="ES50" s="1315"/>
      <c r="ET50" s="1315"/>
      <c r="EU50" s="1315"/>
      <c r="EV50" s="1315"/>
      <c r="EW50" s="1315"/>
      <c r="EX50" s="1315"/>
      <c r="EY50" s="1315"/>
      <c r="EZ50" s="1315"/>
      <c r="FA50" s="1315"/>
      <c r="FB50" s="1315"/>
      <c r="FC50" s="1315"/>
      <c r="FD50" s="1315"/>
      <c r="FE50" s="126"/>
      <c r="FF50" s="121"/>
      <c r="FG50" s="121"/>
    </row>
    <row r="51" spans="1:163" s="257" customFormat="1" ht="12" customHeight="1">
      <c r="A51" s="255"/>
      <c r="B51" s="256"/>
      <c r="C51" s="256"/>
      <c r="F51" s="984"/>
      <c r="G51" s="957"/>
      <c r="H51" s="985"/>
      <c r="I51" s="955"/>
      <c r="J51" s="956"/>
      <c r="K51" s="956"/>
      <c r="L51" s="957"/>
      <c r="M51" s="957"/>
      <c r="N51" s="957"/>
      <c r="O51" s="956"/>
      <c r="P51" s="956"/>
      <c r="Q51" s="956"/>
      <c r="R51" s="958"/>
      <c r="S51" s="958"/>
      <c r="T51" s="959"/>
      <c r="U51" s="971" t="s">
        <v>262</v>
      </c>
      <c r="V51" s="958"/>
      <c r="W51" s="958"/>
      <c r="X51" s="957" t="s">
        <v>110</v>
      </c>
      <c r="Y51" s="957"/>
      <c r="Z51" s="957"/>
      <c r="AA51" s="963"/>
      <c r="AB51" s="963"/>
      <c r="AC51" s="963"/>
      <c r="AD51" s="957"/>
      <c r="AE51" s="957"/>
      <c r="AF51" s="957"/>
      <c r="AG51" s="957"/>
      <c r="AH51" s="957"/>
      <c r="AI51" s="957"/>
      <c r="AJ51" s="975"/>
      <c r="AK51" s="975"/>
      <c r="AL51" s="976"/>
      <c r="AM51" s="966"/>
      <c r="AN51" s="964"/>
      <c r="AO51" s="964"/>
      <c r="AP51" s="964"/>
      <c r="AQ51" s="964"/>
      <c r="AR51" s="964"/>
      <c r="AS51" s="964"/>
      <c r="AT51" s="964"/>
      <c r="AU51" s="964"/>
      <c r="AV51" s="964"/>
      <c r="AW51" s="964"/>
      <c r="AX51" s="964"/>
      <c r="AY51" s="964"/>
      <c r="AZ51" s="964"/>
      <c r="BA51" s="964"/>
      <c r="BB51" s="964"/>
      <c r="BC51" s="964"/>
      <c r="BD51" s="967"/>
      <c r="BE51" s="953"/>
      <c r="BF51" s="954"/>
      <c r="BG51" s="954"/>
      <c r="BH51" s="954"/>
      <c r="BI51" s="954"/>
      <c r="BJ51" s="954"/>
      <c r="BK51" s="954"/>
      <c r="BL51" s="954"/>
      <c r="BM51" s="954"/>
      <c r="BN51" s="954"/>
      <c r="BO51" s="954"/>
      <c r="BP51" s="954"/>
      <c r="BQ51" s="954"/>
      <c r="BR51" s="954"/>
      <c r="BS51" s="954"/>
      <c r="BT51" s="954"/>
      <c r="BU51" s="954"/>
      <c r="BV51" s="954"/>
      <c r="BW51" s="954"/>
      <c r="BX51" s="954"/>
      <c r="BY51" s="954"/>
      <c r="BZ51" s="954"/>
      <c r="CA51" s="954"/>
      <c r="CB51" s="118"/>
      <c r="CI51" s="1322"/>
      <c r="CJ51" s="1323"/>
      <c r="CK51" s="1324"/>
      <c r="CL51" s="1342"/>
      <c r="CM51" s="1343"/>
      <c r="CN51" s="1344"/>
      <c r="CO51" s="1322"/>
      <c r="CP51" s="1323"/>
      <c r="CQ51" s="1324"/>
      <c r="CR51" s="1342"/>
      <c r="CS51" s="1343"/>
      <c r="CT51" s="1344"/>
      <c r="CU51" s="1351"/>
      <c r="CV51" s="1352"/>
      <c r="CW51" s="1353"/>
      <c r="CX51" s="1348" t="s">
        <v>262</v>
      </c>
      <c r="CY51" s="1349"/>
      <c r="CZ51" s="1350"/>
      <c r="DA51" s="1319" t="s">
        <v>110</v>
      </c>
      <c r="DB51" s="1320"/>
      <c r="DC51" s="1321"/>
      <c r="DD51" s="1331"/>
      <c r="DE51" s="1332"/>
      <c r="DF51" s="1333"/>
      <c r="DG51" s="1322"/>
      <c r="DH51" s="1323"/>
      <c r="DI51" s="1324"/>
      <c r="DJ51" s="1322"/>
      <c r="DK51" s="1323"/>
      <c r="DL51" s="1324"/>
      <c r="DM51" s="1303"/>
      <c r="DN51" s="1304"/>
      <c r="DO51" s="1305"/>
      <c r="DP51" s="725"/>
      <c r="DQ51" s="726"/>
      <c r="DR51" s="726"/>
      <c r="DS51" s="726"/>
      <c r="DT51" s="726"/>
      <c r="DU51" s="726"/>
      <c r="DV51" s="726"/>
      <c r="DW51" s="726"/>
      <c r="DX51" s="726"/>
      <c r="DY51" s="726"/>
      <c r="DZ51" s="726"/>
      <c r="EA51" s="726"/>
      <c r="EB51" s="726"/>
      <c r="EC51" s="726"/>
      <c r="ED51" s="726"/>
      <c r="EE51" s="726"/>
      <c r="EF51" s="726"/>
      <c r="EG51" s="726"/>
      <c r="EH51" s="1315"/>
      <c r="EI51" s="1315"/>
      <c r="EJ51" s="1315"/>
      <c r="EK51" s="1315"/>
      <c r="EL51" s="1315"/>
      <c r="EM51" s="1315"/>
      <c r="EN51" s="1315"/>
      <c r="EO51" s="1315"/>
      <c r="EP51" s="1315"/>
      <c r="EQ51" s="1315"/>
      <c r="ER51" s="1315"/>
      <c r="ES51" s="1315"/>
      <c r="ET51" s="1315"/>
      <c r="EU51" s="1315"/>
      <c r="EV51" s="1315"/>
      <c r="EW51" s="1315"/>
      <c r="EX51" s="1315"/>
      <c r="EY51" s="1315"/>
      <c r="EZ51" s="1315"/>
      <c r="FA51" s="1315"/>
      <c r="FB51" s="1315"/>
      <c r="FC51" s="1315"/>
      <c r="FD51" s="1315"/>
      <c r="FF51" s="258"/>
      <c r="FG51" s="258"/>
    </row>
    <row r="52" spans="1:163" s="257" customFormat="1" ht="12" customHeight="1">
      <c r="A52" s="255"/>
      <c r="F52" s="984"/>
      <c r="G52" s="957"/>
      <c r="H52" s="985"/>
      <c r="I52" s="955"/>
      <c r="J52" s="956"/>
      <c r="K52" s="956"/>
      <c r="L52" s="957"/>
      <c r="M52" s="957"/>
      <c r="N52" s="957"/>
      <c r="O52" s="956"/>
      <c r="P52" s="956"/>
      <c r="Q52" s="956"/>
      <c r="R52" s="958"/>
      <c r="S52" s="958"/>
      <c r="T52" s="959"/>
      <c r="U52" s="971"/>
      <c r="V52" s="958"/>
      <c r="W52" s="958"/>
      <c r="X52" s="957"/>
      <c r="Y52" s="957"/>
      <c r="Z52" s="957"/>
      <c r="AA52" s="963"/>
      <c r="AB52" s="963"/>
      <c r="AC52" s="963"/>
      <c r="AD52" s="957"/>
      <c r="AE52" s="957"/>
      <c r="AF52" s="957"/>
      <c r="AG52" s="957"/>
      <c r="AH52" s="957"/>
      <c r="AI52" s="957"/>
      <c r="AJ52" s="975"/>
      <c r="AK52" s="975"/>
      <c r="AL52" s="976"/>
      <c r="AM52" s="966"/>
      <c r="AN52" s="964"/>
      <c r="AO52" s="964"/>
      <c r="AP52" s="964"/>
      <c r="AQ52" s="964"/>
      <c r="AR52" s="964"/>
      <c r="AS52" s="964"/>
      <c r="AT52" s="964"/>
      <c r="AU52" s="964"/>
      <c r="AV52" s="964"/>
      <c r="AW52" s="964"/>
      <c r="AX52" s="964"/>
      <c r="AY52" s="964"/>
      <c r="AZ52" s="964"/>
      <c r="BA52" s="964"/>
      <c r="BB52" s="964"/>
      <c r="BC52" s="964"/>
      <c r="BD52" s="967"/>
      <c r="BE52" s="953"/>
      <c r="BF52" s="954"/>
      <c r="BG52" s="954"/>
      <c r="BH52" s="954"/>
      <c r="BI52" s="954"/>
      <c r="BJ52" s="954"/>
      <c r="BK52" s="954"/>
      <c r="BL52" s="954"/>
      <c r="BM52" s="954"/>
      <c r="BN52" s="954"/>
      <c r="BO52" s="954"/>
      <c r="BP52" s="954"/>
      <c r="BQ52" s="954"/>
      <c r="BR52" s="954"/>
      <c r="BS52" s="954"/>
      <c r="BT52" s="954"/>
      <c r="BU52" s="954"/>
      <c r="BV52" s="954"/>
      <c r="BW52" s="954"/>
      <c r="BX52" s="954"/>
      <c r="BY52" s="954"/>
      <c r="BZ52" s="954"/>
      <c r="CA52" s="954"/>
      <c r="CB52" s="118"/>
      <c r="CH52" s="261"/>
      <c r="CI52" s="1322"/>
      <c r="CJ52" s="1323"/>
      <c r="CK52" s="1324"/>
      <c r="CL52" s="1342"/>
      <c r="CM52" s="1343"/>
      <c r="CN52" s="1344"/>
      <c r="CO52" s="1322"/>
      <c r="CP52" s="1323"/>
      <c r="CQ52" s="1324"/>
      <c r="CR52" s="1342"/>
      <c r="CS52" s="1343"/>
      <c r="CT52" s="1344"/>
      <c r="CU52" s="1351"/>
      <c r="CV52" s="1352"/>
      <c r="CW52" s="1353"/>
      <c r="CX52" s="1351"/>
      <c r="CY52" s="1352"/>
      <c r="CZ52" s="1353"/>
      <c r="DA52" s="1322"/>
      <c r="DB52" s="1323"/>
      <c r="DC52" s="1324"/>
      <c r="DD52" s="1331"/>
      <c r="DE52" s="1332"/>
      <c r="DF52" s="1333"/>
      <c r="DG52" s="1322"/>
      <c r="DH52" s="1323"/>
      <c r="DI52" s="1324"/>
      <c r="DJ52" s="1322"/>
      <c r="DK52" s="1323"/>
      <c r="DL52" s="1324"/>
      <c r="DM52" s="1303"/>
      <c r="DN52" s="1304"/>
      <c r="DO52" s="1305"/>
      <c r="DP52" s="1310"/>
      <c r="DQ52" s="1311"/>
      <c r="DR52" s="1311"/>
      <c r="DS52" s="1311"/>
      <c r="DT52" s="1311"/>
      <c r="DU52" s="1311"/>
      <c r="DV52" s="1311"/>
      <c r="DW52" s="1311"/>
      <c r="DX52" s="1311"/>
      <c r="DY52" s="1311"/>
      <c r="DZ52" s="1311"/>
      <c r="EA52" s="1311"/>
      <c r="EB52" s="1311"/>
      <c r="EC52" s="1311"/>
      <c r="ED52" s="1311"/>
      <c r="EE52" s="1311"/>
      <c r="EF52" s="1311"/>
      <c r="EG52" s="1311"/>
      <c r="EH52" s="1315"/>
      <c r="EI52" s="1315"/>
      <c r="EJ52" s="1315"/>
      <c r="EK52" s="1315"/>
      <c r="EL52" s="1315"/>
      <c r="EM52" s="1315"/>
      <c r="EN52" s="1315"/>
      <c r="EO52" s="1315"/>
      <c r="EP52" s="1315"/>
      <c r="EQ52" s="1315"/>
      <c r="ER52" s="1315"/>
      <c r="ES52" s="1315"/>
      <c r="ET52" s="1315"/>
      <c r="EU52" s="1315"/>
      <c r="EV52" s="1315"/>
      <c r="EW52" s="1315"/>
      <c r="EX52" s="1315"/>
      <c r="EY52" s="1315"/>
      <c r="EZ52" s="1315"/>
      <c r="FA52" s="1315"/>
      <c r="FB52" s="1315"/>
      <c r="FC52" s="1315"/>
      <c r="FD52" s="1315"/>
      <c r="FF52" s="258"/>
      <c r="FG52" s="258"/>
    </row>
    <row r="53" spans="1:163" ht="21" customHeight="1">
      <c r="A53" s="254"/>
      <c r="D53" s="965" t="s">
        <v>132</v>
      </c>
      <c r="E53" s="965"/>
      <c r="F53" s="984"/>
      <c r="G53" s="957"/>
      <c r="H53" s="985"/>
      <c r="I53" s="955"/>
      <c r="J53" s="956"/>
      <c r="K53" s="956"/>
      <c r="L53" s="957"/>
      <c r="M53" s="957"/>
      <c r="N53" s="957"/>
      <c r="O53" s="956"/>
      <c r="P53" s="956"/>
      <c r="Q53" s="956"/>
      <c r="R53" s="958"/>
      <c r="S53" s="958"/>
      <c r="T53" s="959"/>
      <c r="U53" s="971"/>
      <c r="V53" s="958"/>
      <c r="W53" s="958"/>
      <c r="X53" s="957"/>
      <c r="Y53" s="957"/>
      <c r="Z53" s="957"/>
      <c r="AA53" s="963"/>
      <c r="AB53" s="963"/>
      <c r="AC53" s="963"/>
      <c r="AD53" s="957"/>
      <c r="AE53" s="957"/>
      <c r="AF53" s="957"/>
      <c r="AG53" s="957"/>
      <c r="AH53" s="957"/>
      <c r="AI53" s="957"/>
      <c r="AJ53" s="975"/>
      <c r="AK53" s="975"/>
      <c r="AL53" s="976"/>
      <c r="AM53" s="966" t="s">
        <v>59</v>
      </c>
      <c r="AN53" s="964"/>
      <c r="AO53" s="964"/>
      <c r="AP53" s="964" t="s">
        <v>60</v>
      </c>
      <c r="AQ53" s="964"/>
      <c r="AR53" s="964"/>
      <c r="AS53" s="964" t="s">
        <v>61</v>
      </c>
      <c r="AT53" s="964"/>
      <c r="AU53" s="964"/>
      <c r="AV53" s="964"/>
      <c r="AW53" s="964" t="s">
        <v>62</v>
      </c>
      <c r="AX53" s="964"/>
      <c r="AY53" s="964"/>
      <c r="AZ53" s="964"/>
      <c r="BA53" s="964" t="s">
        <v>63</v>
      </c>
      <c r="BB53" s="964"/>
      <c r="BC53" s="964"/>
      <c r="BD53" s="967"/>
      <c r="BE53" s="989" t="s">
        <v>359</v>
      </c>
      <c r="BF53" s="964"/>
      <c r="BG53" s="964"/>
      <c r="BH53" s="964"/>
      <c r="BI53" s="964"/>
      <c r="BJ53" s="964"/>
      <c r="BK53" s="964"/>
      <c r="BL53" s="964"/>
      <c r="BM53" s="964"/>
      <c r="BN53" s="964"/>
      <c r="BO53" s="964"/>
      <c r="BP53" s="964" t="s">
        <v>130</v>
      </c>
      <c r="BQ53" s="964"/>
      <c r="BR53" s="964"/>
      <c r="BS53" s="964"/>
      <c r="BT53" s="964" t="s">
        <v>131</v>
      </c>
      <c r="BU53" s="964"/>
      <c r="BV53" s="964"/>
      <c r="BW53" s="964"/>
      <c r="BX53" s="964" t="s">
        <v>63</v>
      </c>
      <c r="BY53" s="964"/>
      <c r="BZ53" s="964"/>
      <c r="CA53" s="964"/>
      <c r="CB53" s="118"/>
      <c r="CG53" s="1337" t="s">
        <v>265</v>
      </c>
      <c r="CH53" s="1338"/>
      <c r="CI53" s="1325"/>
      <c r="CJ53" s="1326"/>
      <c r="CK53" s="1327"/>
      <c r="CL53" s="1345"/>
      <c r="CM53" s="1346"/>
      <c r="CN53" s="1347"/>
      <c r="CO53" s="1325"/>
      <c r="CP53" s="1326"/>
      <c r="CQ53" s="1327"/>
      <c r="CR53" s="1345"/>
      <c r="CS53" s="1346"/>
      <c r="CT53" s="1347"/>
      <c r="CU53" s="1354"/>
      <c r="CV53" s="1355"/>
      <c r="CW53" s="1356"/>
      <c r="CX53" s="1354"/>
      <c r="CY53" s="1355"/>
      <c r="CZ53" s="1356"/>
      <c r="DA53" s="1325"/>
      <c r="DB53" s="1326"/>
      <c r="DC53" s="1327"/>
      <c r="DD53" s="1334"/>
      <c r="DE53" s="1335"/>
      <c r="DF53" s="1336"/>
      <c r="DG53" s="1325"/>
      <c r="DH53" s="1326"/>
      <c r="DI53" s="1327"/>
      <c r="DJ53" s="1325"/>
      <c r="DK53" s="1326"/>
      <c r="DL53" s="1327"/>
      <c r="DM53" s="1303"/>
      <c r="DN53" s="1304"/>
      <c r="DO53" s="1305"/>
      <c r="DP53" s="1316" t="s">
        <v>59</v>
      </c>
      <c r="DQ53" s="1317"/>
      <c r="DR53" s="1318"/>
      <c r="DS53" s="1316" t="s">
        <v>60</v>
      </c>
      <c r="DT53" s="1317"/>
      <c r="DU53" s="1318"/>
      <c r="DV53" s="1316" t="s">
        <v>61</v>
      </c>
      <c r="DW53" s="1317"/>
      <c r="DX53" s="1317"/>
      <c r="DY53" s="1318"/>
      <c r="DZ53" s="1316" t="s">
        <v>62</v>
      </c>
      <c r="EA53" s="1317"/>
      <c r="EB53" s="1317"/>
      <c r="EC53" s="1318"/>
      <c r="ED53" s="1316" t="s">
        <v>63</v>
      </c>
      <c r="EE53" s="1317"/>
      <c r="EF53" s="1317"/>
      <c r="EG53" s="1318"/>
      <c r="EH53" s="1316" t="s">
        <v>359</v>
      </c>
      <c r="EI53" s="1317"/>
      <c r="EJ53" s="1317"/>
      <c r="EK53" s="1317"/>
      <c r="EL53" s="1317"/>
      <c r="EM53" s="1317"/>
      <c r="EN53" s="1317"/>
      <c r="EO53" s="1317"/>
      <c r="EP53" s="1317"/>
      <c r="EQ53" s="1317"/>
      <c r="ER53" s="1318"/>
      <c r="ES53" s="1316" t="s">
        <v>130</v>
      </c>
      <c r="ET53" s="1317"/>
      <c r="EU53" s="1317"/>
      <c r="EV53" s="1318"/>
      <c r="EW53" s="1316" t="s">
        <v>131</v>
      </c>
      <c r="EX53" s="1317"/>
      <c r="EY53" s="1317"/>
      <c r="EZ53" s="1318"/>
      <c r="FA53" s="1316" t="s">
        <v>63</v>
      </c>
      <c r="FB53" s="1317"/>
      <c r="FC53" s="1317"/>
      <c r="FD53" s="1318"/>
      <c r="FE53" s="126"/>
      <c r="FF53" s="121"/>
      <c r="FG53" s="121"/>
    </row>
    <row r="54" spans="1:163" ht="24.75" thickBot="1">
      <c r="A54" s="74"/>
      <c r="D54" s="965"/>
      <c r="E54" s="965"/>
      <c r="F54" s="997" t="str">
        <f>IF('07nen'!$C$36="○","○","")</f>
        <v/>
      </c>
      <c r="G54" s="968"/>
      <c r="H54" s="998"/>
      <c r="I54" s="999" t="str">
        <f>IF('07nen'!$E$37="○","○","")</f>
        <v/>
      </c>
      <c r="J54" s="1000"/>
      <c r="K54" s="1000"/>
      <c r="L54" s="1000" t="str">
        <f>IF('07nen'!$C$37="○","○","")</f>
        <v/>
      </c>
      <c r="M54" s="1000"/>
      <c r="N54" s="1000"/>
      <c r="O54" s="1000" t="str">
        <f>IF('07nen'!$E$36="○","○","")</f>
        <v/>
      </c>
      <c r="P54" s="1000"/>
      <c r="Q54" s="1000"/>
      <c r="R54" s="1001" t="str">
        <f>IF('07nen'!$O$8="丙欄","○",IF('07nen'!$O$8="乙欄","○",""))</f>
        <v/>
      </c>
      <c r="S54" s="1001"/>
      <c r="T54" s="1002"/>
      <c r="U54" s="1003" t="str">
        <f>IF('07nen'!$AC$29&gt;0,"○","")</f>
        <v/>
      </c>
      <c r="V54" s="1004"/>
      <c r="W54" s="1004"/>
      <c r="X54" s="968" t="str">
        <f>IF('07nen'!$AC$28&gt;0,"○","")</f>
        <v/>
      </c>
      <c r="Y54" s="968"/>
      <c r="Z54" s="968"/>
      <c r="AA54" s="968" t="str">
        <f>IF('07nen'!$AC$31&gt;0,"○","")</f>
        <v/>
      </c>
      <c r="AB54" s="968"/>
      <c r="AC54" s="968"/>
      <c r="AD54" s="968" t="str">
        <f>IF('07nen'!$AC$32&gt;0,"○","")</f>
        <v/>
      </c>
      <c r="AE54" s="968"/>
      <c r="AF54" s="968"/>
      <c r="AG54" s="968" t="str">
        <f>IF('07nen'!$AE$32&gt;0,"○","")</f>
        <v/>
      </c>
      <c r="AH54" s="968"/>
      <c r="AI54" s="968"/>
      <c r="AJ54" s="977"/>
      <c r="AK54" s="977"/>
      <c r="AL54" s="978"/>
      <c r="AM54" s="969" t="str">
        <f>IF('07nen'!$D$47="就職","○","")</f>
        <v/>
      </c>
      <c r="AN54" s="970"/>
      <c r="AO54" s="970"/>
      <c r="AP54" s="970" t="str">
        <f>IF('07nen'!$D$47="退職","○","")</f>
        <v/>
      </c>
      <c r="AQ54" s="970"/>
      <c r="AR54" s="970"/>
      <c r="AS54" s="1018">
        <v>7</v>
      </c>
      <c r="AT54" s="1018"/>
      <c r="AU54" s="1018"/>
      <c r="AV54" s="1018"/>
      <c r="AW54" s="991" t="str">
        <f>IF('07nen'!$D$48="","",'07nen'!$D$48)</f>
        <v/>
      </c>
      <c r="AX54" s="991"/>
      <c r="AY54" s="991"/>
      <c r="AZ54" s="991"/>
      <c r="BA54" s="992" t="str">
        <f>IF('07nen'!$D$48="","",'07nen'!$D$48)</f>
        <v/>
      </c>
      <c r="BB54" s="992"/>
      <c r="BC54" s="992"/>
      <c r="BD54" s="993"/>
      <c r="BE54" s="994" t="str">
        <f>IF('07nen'!$O$12="","",'07nen'!$O$12)</f>
        <v/>
      </c>
      <c r="BF54" s="995"/>
      <c r="BG54" s="995"/>
      <c r="BH54" s="995"/>
      <c r="BI54" s="995"/>
      <c r="BJ54" s="995"/>
      <c r="BK54" s="995"/>
      <c r="BL54" s="995"/>
      <c r="BM54" s="995"/>
      <c r="BN54" s="995"/>
      <c r="BO54" s="995"/>
      <c r="BP54" s="996" t="str">
        <f>IF('07nen'!$O$12="","",'07nen'!$O$12)</f>
        <v/>
      </c>
      <c r="BQ54" s="996"/>
      <c r="BR54" s="996"/>
      <c r="BS54" s="996"/>
      <c r="BT54" s="1024" t="str">
        <f>IF('07nen'!$O$12="","",'07nen'!$O$12)</f>
        <v/>
      </c>
      <c r="BU54" s="1024"/>
      <c r="BV54" s="1024"/>
      <c r="BW54" s="1024"/>
      <c r="BX54" s="990" t="str">
        <f>IF('07nen'!$O$12="","",'07nen'!$O$12)</f>
        <v/>
      </c>
      <c r="BY54" s="990"/>
      <c r="BZ54" s="990"/>
      <c r="CA54" s="990"/>
      <c r="CB54" s="118"/>
      <c r="CG54" s="1337"/>
      <c r="CH54" s="1338"/>
      <c r="CI54" s="1284" t="str">
        <f>IF('07nen'!$C$36="○","○","")</f>
        <v/>
      </c>
      <c r="CJ54" s="1285"/>
      <c r="CK54" s="1286"/>
      <c r="CL54" s="1284" t="str">
        <f>IF('07nen'!$E$37="○","○","")</f>
        <v/>
      </c>
      <c r="CM54" s="1285"/>
      <c r="CN54" s="1286"/>
      <c r="CO54" s="1284" t="str">
        <f>IF('07nen'!$C$37="○","○","")</f>
        <v/>
      </c>
      <c r="CP54" s="1285"/>
      <c r="CQ54" s="1286"/>
      <c r="CR54" s="1284" t="str">
        <f>IF('07nen'!$E$36="○","○","")</f>
        <v/>
      </c>
      <c r="CS54" s="1285"/>
      <c r="CT54" s="1286"/>
      <c r="CU54" s="1284" t="str">
        <f>IF('07nen'!$O$8="丙欄","○",IF('07nen'!$O$8="乙欄","○",""))</f>
        <v/>
      </c>
      <c r="CV54" s="1285"/>
      <c r="CW54" s="1286"/>
      <c r="CX54" s="1363" t="str">
        <f>IF('07nen'!$AC$29&gt;0,"○","")</f>
        <v/>
      </c>
      <c r="CY54" s="1364"/>
      <c r="CZ54" s="1365"/>
      <c r="DA54" s="1284" t="str">
        <f>IF('07nen'!$AC$28&gt;0,"○","")</f>
        <v/>
      </c>
      <c r="DB54" s="1285"/>
      <c r="DC54" s="1286"/>
      <c r="DD54" s="1284" t="str">
        <f>IF('07nen'!$AC$31&gt;0,"○","")</f>
        <v/>
      </c>
      <c r="DE54" s="1285"/>
      <c r="DF54" s="1286"/>
      <c r="DG54" s="1284" t="str">
        <f>IF('07nen'!$AC$32&gt;0,"○","")</f>
        <v/>
      </c>
      <c r="DH54" s="1285"/>
      <c r="DI54" s="1286"/>
      <c r="DJ54" s="1284" t="str">
        <f>IF('07nen'!$AE$32&gt;0,"○","")</f>
        <v/>
      </c>
      <c r="DK54" s="1285"/>
      <c r="DL54" s="1286"/>
      <c r="DM54" s="1306"/>
      <c r="DN54" s="1307"/>
      <c r="DO54" s="1308"/>
      <c r="DP54" s="1288" t="str">
        <f>IF('07nen'!$D$47="就職","○","")</f>
        <v/>
      </c>
      <c r="DQ54" s="1289"/>
      <c r="DR54" s="1290"/>
      <c r="DS54" s="1288" t="str">
        <f>IF('07nen'!$D$47="退職","○","")</f>
        <v/>
      </c>
      <c r="DT54" s="1289"/>
      <c r="DU54" s="1290"/>
      <c r="DV54" s="1291">
        <f>+$DA$5</f>
        <v>7</v>
      </c>
      <c r="DW54" s="1292"/>
      <c r="DX54" s="1292"/>
      <c r="DY54" s="1293"/>
      <c r="DZ54" s="1360" t="str">
        <f>IF('07nen'!$D$48="","",'07nen'!$D$48)</f>
        <v/>
      </c>
      <c r="EA54" s="1361"/>
      <c r="EB54" s="1361"/>
      <c r="EC54" s="1362"/>
      <c r="ED54" s="1312" t="str">
        <f>IF('07nen'!$D$48="","",'07nen'!$D$48)</f>
        <v/>
      </c>
      <c r="EE54" s="1313"/>
      <c r="EF54" s="1313"/>
      <c r="EG54" s="1314"/>
      <c r="EH54" s="1272" t="str">
        <f>IF('07nen'!$O$12="","",'07nen'!$O$12)</f>
        <v/>
      </c>
      <c r="EI54" s="1273"/>
      <c r="EJ54" s="1273"/>
      <c r="EK54" s="1273"/>
      <c r="EL54" s="1273"/>
      <c r="EM54" s="1273"/>
      <c r="EN54" s="1273"/>
      <c r="EO54" s="1273"/>
      <c r="EP54" s="1273"/>
      <c r="EQ54" s="1273"/>
      <c r="ER54" s="1274"/>
      <c r="ES54" s="1275" t="str">
        <f>IF('07nen'!$O$12="","",'07nen'!$O$12)</f>
        <v/>
      </c>
      <c r="ET54" s="1276"/>
      <c r="EU54" s="1276"/>
      <c r="EV54" s="1277"/>
      <c r="EW54" s="1278" t="str">
        <f>IF('07nen'!$O$12="","",'07nen'!$O$12)</f>
        <v/>
      </c>
      <c r="EX54" s="1279"/>
      <c r="EY54" s="1279"/>
      <c r="EZ54" s="1280"/>
      <c r="FA54" s="1281" t="str">
        <f>IF('07nen'!$O$12="","",'07nen'!$O$12)</f>
        <v/>
      </c>
      <c r="FB54" s="1282"/>
      <c r="FC54" s="1282"/>
      <c r="FD54" s="1283"/>
      <c r="FE54" s="126"/>
      <c r="FF54" s="121"/>
      <c r="FG54" s="121"/>
    </row>
    <row r="55" spans="1:163" ht="24">
      <c r="A55" s="74"/>
      <c r="D55" s="965"/>
      <c r="E55" s="965"/>
      <c r="F55" s="705" t="s">
        <v>67</v>
      </c>
      <c r="G55" s="705"/>
      <c r="H55" s="705"/>
      <c r="I55" s="988" t="s">
        <v>231</v>
      </c>
      <c r="J55" s="988"/>
      <c r="K55" s="988"/>
      <c r="L55" s="988"/>
      <c r="M55" s="988"/>
      <c r="N55" s="988"/>
      <c r="O55" s="988"/>
      <c r="P55" s="988"/>
      <c r="Q55" s="988"/>
      <c r="R55" s="1023" t="str">
        <f>IF('07nen'!$E$11="","",IF('07nen'!$E$11&lt;1000000000000,"",LEFT((RIGHT('07nen'!$E$11+10000000000000,13)),1)))</f>
        <v/>
      </c>
      <c r="S55" s="1023"/>
      <c r="T55" s="1023" t="str">
        <f>IF('07nen'!$E$11="","",LEFT((RIGHT('07nen'!$E$11+10000000000000,12)),1))</f>
        <v/>
      </c>
      <c r="U55" s="986"/>
      <c r="V55" s="986" t="str">
        <f>IF('07nen'!$E$11="","",LEFT((RIGHT('07nen'!$E$11+10000000000000,11)),1))</f>
        <v/>
      </c>
      <c r="W55" s="986"/>
      <c r="X55" s="986" t="str">
        <f>IF('07nen'!$E$11="","",LEFT((RIGHT('07nen'!$E$11+10000000000000,10)),1))</f>
        <v/>
      </c>
      <c r="Y55" s="986"/>
      <c r="Z55" s="986" t="str">
        <f>IF('07nen'!$E$11="","",LEFT((RIGHT('07nen'!$E$11+10000000000000,9)),1))</f>
        <v/>
      </c>
      <c r="AA55" s="986"/>
      <c r="AB55" s="986" t="str">
        <f>IF('07nen'!$E$11="","",LEFT((RIGHT('07nen'!$E$11+10000000000000,8)),1))</f>
        <v/>
      </c>
      <c r="AC55" s="986"/>
      <c r="AD55" s="986" t="str">
        <f>IF('07nen'!$E$11="","",LEFT((RIGHT('07nen'!$E$11+10000000000000,7)),1))</f>
        <v/>
      </c>
      <c r="AE55" s="986"/>
      <c r="AF55" s="986" t="str">
        <f>IF('07nen'!$E$11="","",LEFT((RIGHT('07nen'!$E$11+10000000000000,6)),1))</f>
        <v/>
      </c>
      <c r="AG55" s="986"/>
      <c r="AH55" s="986" t="str">
        <f>IF('07nen'!$E$11="","",LEFT((RIGHT('07nen'!$E$11+10000000000000,5)),1))</f>
        <v/>
      </c>
      <c r="AI55" s="986"/>
      <c r="AJ55" s="986" t="str">
        <f>IF('07nen'!$E$11="","",LEFT((RIGHT('07nen'!$E$11+10000000000000,4)),1))</f>
        <v/>
      </c>
      <c r="AK55" s="986"/>
      <c r="AL55" s="986" t="str">
        <f>IF('07nen'!$E$11="","",LEFT((RIGHT('07nen'!$E$11+10000000000000,3)),1))</f>
        <v/>
      </c>
      <c r="AM55" s="986"/>
      <c r="AN55" s="986" t="str">
        <f>IF('07nen'!$E$11="","",LEFT((RIGHT('07nen'!$E$11+10000000000000,2)),1))</f>
        <v/>
      </c>
      <c r="AO55" s="986"/>
      <c r="AP55" s="986" t="str">
        <f>IF('07nen'!$E$11="","",LEFT((RIGHT('07nen'!$E$11+10000000000000,1)),1))</f>
        <v/>
      </c>
      <c r="AQ55" s="986"/>
      <c r="AR55" s="308" t="s">
        <v>233</v>
      </c>
      <c r="BP55" s="90"/>
      <c r="CA55" s="325"/>
      <c r="CB55" s="118"/>
      <c r="CG55" s="1337"/>
      <c r="CH55" s="1338"/>
      <c r="CI55" s="1263" t="s">
        <v>67</v>
      </c>
      <c r="CJ55" s="1264"/>
      <c r="CK55" s="1265"/>
      <c r="CL55" s="1266"/>
      <c r="CM55" s="1267"/>
      <c r="CN55" s="1267"/>
      <c r="CO55" s="1267"/>
      <c r="CP55" s="1267"/>
      <c r="CQ55" s="1267"/>
      <c r="CR55" s="1267"/>
      <c r="CS55" s="1267"/>
      <c r="CT55" s="1267"/>
      <c r="CU55" s="1267"/>
      <c r="CV55" s="1267"/>
      <c r="CW55" s="1267"/>
      <c r="CX55" s="1267"/>
      <c r="CY55" s="1267"/>
      <c r="CZ55" s="1267"/>
      <c r="DA55" s="1267"/>
      <c r="DB55" s="1267"/>
      <c r="DC55" s="1267"/>
      <c r="DD55" s="1267"/>
      <c r="DE55" s="1267"/>
      <c r="DF55" s="1267"/>
      <c r="DG55" s="1267"/>
      <c r="DH55" s="1267"/>
      <c r="DI55" s="1267"/>
      <c r="DJ55" s="1267"/>
      <c r="DK55" s="1267"/>
      <c r="DL55" s="1267"/>
      <c r="DM55" s="1267"/>
      <c r="DN55" s="1267"/>
      <c r="DO55" s="1267"/>
      <c r="DP55" s="1267"/>
      <c r="DQ55" s="1267"/>
      <c r="DR55" s="1267"/>
      <c r="DS55" s="1267"/>
      <c r="DT55" s="1267"/>
      <c r="DU55" s="1267"/>
      <c r="DV55" s="1267"/>
      <c r="DW55" s="1267"/>
      <c r="DX55" s="1267"/>
      <c r="DY55" s="1267"/>
      <c r="DZ55" s="1267"/>
      <c r="EA55" s="1267"/>
      <c r="EB55" s="1267"/>
      <c r="EC55" s="1267"/>
      <c r="ED55" s="1267"/>
      <c r="EE55" s="1267"/>
      <c r="EF55" s="1267"/>
      <c r="EG55" s="1267"/>
      <c r="EH55" s="1267"/>
      <c r="EI55" s="1267"/>
      <c r="EJ55" s="1267"/>
      <c r="EK55" s="1267"/>
      <c r="EL55" s="1267"/>
      <c r="EM55" s="1267"/>
      <c r="EN55" s="1267"/>
      <c r="EO55" s="1267"/>
      <c r="EP55" s="1267"/>
      <c r="EQ55" s="1267"/>
      <c r="ER55" s="1267"/>
      <c r="ES55" s="1267"/>
      <c r="ET55" s="1267"/>
      <c r="EU55" s="1267"/>
      <c r="EV55" s="1267"/>
      <c r="EW55" s="1267"/>
      <c r="EX55" s="1267"/>
      <c r="EY55" s="1267"/>
      <c r="EZ55" s="1267"/>
      <c r="FA55" s="1267"/>
      <c r="FB55" s="1267"/>
      <c r="FC55" s="1267"/>
      <c r="FD55" s="1268"/>
      <c r="FE55" s="126"/>
      <c r="FF55" s="121"/>
      <c r="FG55" s="121"/>
    </row>
    <row r="56" spans="1:163" ht="28.15" customHeight="1">
      <c r="A56" s="240"/>
      <c r="D56" s="965"/>
      <c r="E56" s="965"/>
      <c r="F56" s="987"/>
      <c r="G56" s="987"/>
      <c r="H56" s="987"/>
      <c r="I56" s="1019" t="s">
        <v>180</v>
      </c>
      <c r="J56" s="1019"/>
      <c r="K56" s="1019"/>
      <c r="L56" s="1019"/>
      <c r="M56" s="1019"/>
      <c r="N56" s="1019"/>
      <c r="O56" s="1019"/>
      <c r="P56" s="1019"/>
      <c r="Q56" s="1019"/>
      <c r="R56" s="1020" t="str">
        <f>IF('07nen'!$E$9="","",'07nen'!$E$9)</f>
        <v/>
      </c>
      <c r="S56" s="1021"/>
      <c r="T56" s="1021"/>
      <c r="U56" s="1021"/>
      <c r="V56" s="1021"/>
      <c r="W56" s="1021"/>
      <c r="X56" s="1021"/>
      <c r="Y56" s="1021"/>
      <c r="Z56" s="1021"/>
      <c r="AA56" s="1021"/>
      <c r="AB56" s="1021"/>
      <c r="AC56" s="1021"/>
      <c r="AD56" s="1021"/>
      <c r="AE56" s="1021"/>
      <c r="AF56" s="1021"/>
      <c r="AG56" s="1021"/>
      <c r="AH56" s="1021"/>
      <c r="AI56" s="1021"/>
      <c r="AJ56" s="1021"/>
      <c r="AK56" s="1021"/>
      <c r="AL56" s="1021"/>
      <c r="AM56" s="1021"/>
      <c r="AN56" s="1021"/>
      <c r="AO56" s="1021"/>
      <c r="AP56" s="1021"/>
      <c r="AQ56" s="1021"/>
      <c r="AR56" s="1021"/>
      <c r="AS56" s="1021"/>
      <c r="AT56" s="1021"/>
      <c r="AU56" s="1021"/>
      <c r="AV56" s="1021"/>
      <c r="AW56" s="1021"/>
      <c r="AX56" s="1021"/>
      <c r="AY56" s="1021"/>
      <c r="AZ56" s="1021"/>
      <c r="BA56" s="1021"/>
      <c r="BB56" s="1021"/>
      <c r="BC56" s="1021"/>
      <c r="BD56" s="1021"/>
      <c r="BE56" s="1021"/>
      <c r="BF56" s="1021"/>
      <c r="BG56" s="1021"/>
      <c r="BH56" s="1021"/>
      <c r="BI56" s="1021"/>
      <c r="BJ56" s="1021"/>
      <c r="BK56" s="1021"/>
      <c r="BL56" s="1021"/>
      <c r="BM56" s="1021"/>
      <c r="BN56" s="1021"/>
      <c r="BO56" s="1021"/>
      <c r="BP56" s="1021"/>
      <c r="BQ56" s="1021"/>
      <c r="BR56" s="1021"/>
      <c r="BS56" s="1021"/>
      <c r="BT56" s="1021"/>
      <c r="BU56" s="1021"/>
      <c r="BV56" s="1021"/>
      <c r="BW56" s="1021"/>
      <c r="BX56" s="1021"/>
      <c r="BY56" s="1021"/>
      <c r="BZ56" s="1021"/>
      <c r="CA56" s="1022"/>
      <c r="CB56" s="118"/>
      <c r="CG56" s="1337"/>
      <c r="CH56" s="1338"/>
      <c r="CI56" s="1068"/>
      <c r="CJ56" s="1069"/>
      <c r="CK56" s="1070"/>
      <c r="CL56" s="1269" t="s">
        <v>180</v>
      </c>
      <c r="CM56" s="1270"/>
      <c r="CN56" s="1270"/>
      <c r="CO56" s="1270"/>
      <c r="CP56" s="1270"/>
      <c r="CQ56" s="1270"/>
      <c r="CR56" s="1270"/>
      <c r="CS56" s="1270"/>
      <c r="CT56" s="1271"/>
      <c r="CU56" s="1261" t="str">
        <f>IF('07nen'!$E$9="","",'07nen'!$E$9)</f>
        <v/>
      </c>
      <c r="CV56" s="1262"/>
      <c r="CW56" s="1262"/>
      <c r="CX56" s="1262"/>
      <c r="CY56" s="1262"/>
      <c r="CZ56" s="1262"/>
      <c r="DA56" s="1262"/>
      <c r="DB56" s="1262"/>
      <c r="DC56" s="1262"/>
      <c r="DD56" s="1262"/>
      <c r="DE56" s="1262"/>
      <c r="DF56" s="1262"/>
      <c r="DG56" s="1262"/>
      <c r="DH56" s="1262"/>
      <c r="DI56" s="1262"/>
      <c r="DJ56" s="1262"/>
      <c r="DK56" s="1262"/>
      <c r="DL56" s="1262"/>
      <c r="DM56" s="1262"/>
      <c r="DN56" s="1262"/>
      <c r="DO56" s="1262"/>
      <c r="DP56" s="1262"/>
      <c r="DQ56" s="1262"/>
      <c r="DR56" s="1262"/>
      <c r="DS56" s="1262"/>
      <c r="DT56" s="1262"/>
      <c r="DU56" s="1262"/>
      <c r="DV56" s="1262"/>
      <c r="DW56" s="1262"/>
      <c r="DX56" s="1262"/>
      <c r="DY56" s="1262"/>
      <c r="DZ56" s="1262"/>
      <c r="EA56" s="1262"/>
      <c r="EB56" s="1262"/>
      <c r="EC56" s="1262"/>
      <c r="ED56" s="1262"/>
      <c r="EE56" s="1262"/>
      <c r="EF56" s="1262"/>
      <c r="EG56" s="1262"/>
      <c r="EH56" s="1262"/>
      <c r="EI56" s="1262"/>
      <c r="EJ56" s="1262"/>
      <c r="EK56" s="1262"/>
      <c r="EL56" s="1262"/>
      <c r="EM56" s="1262"/>
      <c r="EN56" s="1262"/>
      <c r="EO56" s="1262"/>
      <c r="EP56" s="1262"/>
      <c r="EQ56" s="1262"/>
      <c r="ER56" s="1262"/>
      <c r="ES56" s="1262"/>
      <c r="ET56" s="1262"/>
      <c r="EU56" s="1262"/>
      <c r="EV56" s="1262"/>
      <c r="EW56" s="1262"/>
      <c r="EX56" s="1262"/>
      <c r="EY56" s="1262"/>
      <c r="EZ56" s="1262"/>
      <c r="FA56" s="1262"/>
      <c r="FB56" s="1262"/>
      <c r="FC56" s="1262"/>
      <c r="FD56" s="1287"/>
      <c r="FE56" s="126"/>
      <c r="FF56" s="121"/>
    </row>
    <row r="57" spans="1:163" ht="28.15" customHeight="1">
      <c r="A57" s="240"/>
      <c r="D57" s="965"/>
      <c r="E57" s="965"/>
      <c r="F57" s="987"/>
      <c r="G57" s="987"/>
      <c r="H57" s="987"/>
      <c r="I57" s="1007" t="s">
        <v>195</v>
      </c>
      <c r="J57" s="1007"/>
      <c r="K57" s="1007"/>
      <c r="L57" s="1007"/>
      <c r="M57" s="1007"/>
      <c r="N57" s="1007"/>
      <c r="O57" s="1007"/>
      <c r="P57" s="1007"/>
      <c r="Q57" s="1007"/>
      <c r="R57" s="1008" t="str">
        <f>IF('07nen'!$E$10="","",'07nen'!$E$10)</f>
        <v/>
      </c>
      <c r="S57" s="1009"/>
      <c r="T57" s="1009"/>
      <c r="U57" s="1009"/>
      <c r="V57" s="1009"/>
      <c r="W57" s="1009"/>
      <c r="X57" s="1009"/>
      <c r="Y57" s="1009"/>
      <c r="Z57" s="1009"/>
      <c r="AA57" s="1009"/>
      <c r="AB57" s="1009"/>
      <c r="AC57" s="1009"/>
      <c r="AD57" s="1009"/>
      <c r="AE57" s="1009"/>
      <c r="AF57" s="1009"/>
      <c r="AG57" s="1009"/>
      <c r="AH57" s="1009"/>
      <c r="AI57" s="1009"/>
      <c r="AJ57" s="1009"/>
      <c r="AK57" s="1009"/>
      <c r="AL57" s="1009"/>
      <c r="AM57" s="1009"/>
      <c r="AN57" s="1009"/>
      <c r="AO57" s="1009"/>
      <c r="AP57" s="1009"/>
      <c r="AQ57" s="1009"/>
      <c r="AR57" s="1009"/>
      <c r="AS57" s="1009"/>
      <c r="AT57" s="1009"/>
      <c r="AU57" s="1009"/>
      <c r="AV57" s="1009"/>
      <c r="AW57" s="1009"/>
      <c r="AX57" s="1009"/>
      <c r="AY57" s="1009"/>
      <c r="AZ57" s="1009"/>
      <c r="BA57" s="1009"/>
      <c r="BB57" s="1009"/>
      <c r="BC57" s="1009"/>
      <c r="BD57" s="1009"/>
      <c r="BE57" s="1009"/>
      <c r="BF57" s="1010" t="s">
        <v>232</v>
      </c>
      <c r="BG57" s="1010"/>
      <c r="BH57" s="1010"/>
      <c r="BI57" s="1010"/>
      <c r="BJ57" s="1010"/>
      <c r="BK57" s="1011" t="str">
        <f>IF('07nen'!$E$12="","",'07nen'!$E$12)</f>
        <v/>
      </c>
      <c r="BL57" s="1011"/>
      <c r="BM57" s="1011"/>
      <c r="BN57" s="1011"/>
      <c r="BO57" s="1011"/>
      <c r="BP57" s="1011"/>
      <c r="BQ57" s="1011"/>
      <c r="BR57" s="1011"/>
      <c r="BS57" s="1011"/>
      <c r="BT57" s="1011"/>
      <c r="BU57" s="1011"/>
      <c r="BV57" s="1011"/>
      <c r="BW57" s="1011"/>
      <c r="BX57" s="1011"/>
      <c r="BY57" s="1011"/>
      <c r="BZ57" s="1011"/>
      <c r="CA57" s="1012"/>
      <c r="CB57" s="118"/>
      <c r="CG57" s="1337"/>
      <c r="CH57" s="1338"/>
      <c r="CI57" s="1037"/>
      <c r="CJ57" s="1038"/>
      <c r="CK57" s="1039"/>
      <c r="CL57" s="1258" t="s">
        <v>195</v>
      </c>
      <c r="CM57" s="1259"/>
      <c r="CN57" s="1259"/>
      <c r="CO57" s="1259"/>
      <c r="CP57" s="1259"/>
      <c r="CQ57" s="1259"/>
      <c r="CR57" s="1259"/>
      <c r="CS57" s="1259"/>
      <c r="CT57" s="1260"/>
      <c r="CU57" s="1261" t="str">
        <f>IF('07nen'!$E$10="","",'07nen'!$E$10)</f>
        <v/>
      </c>
      <c r="CV57" s="1262"/>
      <c r="CW57" s="1262"/>
      <c r="CX57" s="1262"/>
      <c r="CY57" s="1262"/>
      <c r="CZ57" s="1262"/>
      <c r="DA57" s="1262"/>
      <c r="DB57" s="1262"/>
      <c r="DC57" s="1262"/>
      <c r="DD57" s="1262"/>
      <c r="DE57" s="1262"/>
      <c r="DF57" s="1262"/>
      <c r="DG57" s="1262"/>
      <c r="DH57" s="1262"/>
      <c r="DI57" s="1262"/>
      <c r="DJ57" s="1262"/>
      <c r="DK57" s="1262"/>
      <c r="DL57" s="1262"/>
      <c r="DM57" s="1262"/>
      <c r="DN57" s="1262"/>
      <c r="DO57" s="1262"/>
      <c r="DP57" s="1262"/>
      <c r="DQ57" s="1262"/>
      <c r="DR57" s="1262"/>
      <c r="DS57" s="1262"/>
      <c r="DT57" s="1262"/>
      <c r="DU57" s="1262"/>
      <c r="DV57" s="1262"/>
      <c r="DW57" s="1262"/>
      <c r="DX57" s="1262"/>
      <c r="DY57" s="1262"/>
      <c r="DZ57" s="1262"/>
      <c r="EA57" s="1262"/>
      <c r="EB57" s="1262"/>
      <c r="EC57" s="1262"/>
      <c r="ED57" s="1262"/>
      <c r="EE57" s="1262"/>
      <c r="EF57" s="1262"/>
      <c r="EG57" s="1262"/>
      <c r="EH57" s="1262"/>
      <c r="EI57" s="1297" t="s">
        <v>232</v>
      </c>
      <c r="EJ57" s="1297"/>
      <c r="EK57" s="1297"/>
      <c r="EL57" s="1297"/>
      <c r="EM57" s="1297"/>
      <c r="EN57" s="1298" t="str">
        <f>IF('07nen'!$E$12="","",'07nen'!$E$12)</f>
        <v/>
      </c>
      <c r="EO57" s="1298"/>
      <c r="EP57" s="1298"/>
      <c r="EQ57" s="1298"/>
      <c r="ER57" s="1298"/>
      <c r="ES57" s="1298"/>
      <c r="ET57" s="1298"/>
      <c r="EU57" s="1298"/>
      <c r="EV57" s="1298"/>
      <c r="EW57" s="1298"/>
      <c r="EX57" s="1298"/>
      <c r="EY57" s="1298"/>
      <c r="EZ57" s="1298"/>
      <c r="FA57" s="1298"/>
      <c r="FB57" s="1298"/>
      <c r="FC57" s="1298"/>
      <c r="FD57" s="1299"/>
      <c r="FE57" s="126"/>
      <c r="FF57" s="121"/>
    </row>
    <row r="58" spans="1:163" ht="18.75">
      <c r="A58" s="98"/>
      <c r="B58" s="100"/>
      <c r="D58" s="965"/>
      <c r="E58" s="965"/>
      <c r="F58" s="309" t="s">
        <v>234</v>
      </c>
      <c r="G58" s="76"/>
      <c r="CB58" s="118"/>
      <c r="CC58" s="71"/>
      <c r="CD58" s="71"/>
      <c r="CE58" s="71"/>
      <c r="CF58" s="71"/>
      <c r="CG58" s="1295" t="s">
        <v>360</v>
      </c>
      <c r="CH58" s="1296"/>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70"/>
      <c r="EY58" s="70"/>
      <c r="EZ58" s="70"/>
      <c r="FA58" s="70"/>
      <c r="FB58" s="70"/>
      <c r="FC58" s="70"/>
      <c r="FD58" s="70"/>
      <c r="FF58" s="129"/>
      <c r="FG58" s="71"/>
    </row>
    <row r="59" spans="1:163">
      <c r="A59" s="118"/>
      <c r="B59" s="251"/>
      <c r="C59" s="251"/>
      <c r="D59" s="251"/>
      <c r="E59" s="251"/>
      <c r="F59" s="117"/>
      <c r="G59" s="117"/>
      <c r="H59" s="117"/>
      <c r="I59" s="117"/>
      <c r="J59" s="118"/>
      <c r="K59" s="118"/>
      <c r="L59" s="118"/>
      <c r="M59" s="118"/>
      <c r="N59" s="118"/>
      <c r="O59" s="118"/>
      <c r="P59" s="118"/>
      <c r="Q59" s="118"/>
      <c r="R59" s="118"/>
      <c r="S59" s="118"/>
      <c r="T59" s="118"/>
      <c r="U59" s="118"/>
      <c r="V59" s="118"/>
      <c r="W59" s="118"/>
      <c r="X59" s="118"/>
      <c r="Y59" s="118"/>
      <c r="Z59" s="118"/>
      <c r="AA59" s="118"/>
      <c r="AB59" s="118"/>
      <c r="AC59" s="118"/>
      <c r="AD59" s="118"/>
      <c r="AE59" s="118"/>
      <c r="AF59" s="252"/>
      <c r="AG59" s="252"/>
      <c r="AH59" s="252"/>
      <c r="AL59" s="252"/>
      <c r="AM59" s="252"/>
      <c r="AN59" s="252"/>
      <c r="AO59" s="252"/>
      <c r="AP59" s="252"/>
      <c r="AQ59" s="252"/>
      <c r="AR59" s="118"/>
      <c r="AS59" s="118"/>
      <c r="AT59" s="118"/>
      <c r="AU59" s="118"/>
      <c r="AV59" s="118"/>
      <c r="AW59" s="118"/>
      <c r="AX59" s="117"/>
      <c r="AY59" s="118"/>
      <c r="AZ59" s="118"/>
      <c r="BA59" s="118"/>
      <c r="BB59" s="118"/>
      <c r="BC59" s="118"/>
      <c r="BD59" s="118"/>
      <c r="BE59" s="118"/>
      <c r="BF59" s="253"/>
      <c r="BG59" s="253"/>
      <c r="BH59" s="253"/>
      <c r="BI59" s="253"/>
      <c r="BJ59" s="118"/>
      <c r="BK59" s="118"/>
      <c r="BL59" s="118"/>
      <c r="BM59" s="118"/>
      <c r="BN59" s="118"/>
      <c r="BO59" s="118"/>
      <c r="BP59" s="118"/>
      <c r="BQ59" s="118"/>
      <c r="BR59" s="118"/>
      <c r="BS59" s="118"/>
      <c r="BT59" s="118"/>
      <c r="BU59" s="118"/>
      <c r="BV59" s="118"/>
      <c r="BW59" s="118"/>
      <c r="BX59" s="118"/>
      <c r="BY59" s="118"/>
      <c r="BZ59" s="118"/>
      <c r="CA59" s="118"/>
      <c r="CB59" s="118"/>
      <c r="CC59" s="117"/>
      <c r="CD59" s="117"/>
    </row>
    <row r="60" spans="1:163" ht="14.25">
      <c r="A60" s="73"/>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C60" s="101"/>
      <c r="CD60" s="101"/>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row>
  </sheetData>
  <sheetProtection algorithmName="SHA-512" hashValue="VFswxpFCwz9CA9snq0TPn5RpBD0k95pF+tqlNRHaS4x9gxotDJalTudmAq1COxXMOZ47uwrU+1IOrkm7KN7+Jw==" saltValue="+e/ZYxPD/ICVNueMtaUpEA==" spinCount="100000" sheet="1" objects="1" scenarios="1"/>
  <mergeCells count="769">
    <mergeCell ref="DZ53:EC53"/>
    <mergeCell ref="CX50:DC50"/>
    <mergeCell ref="CX51:CZ53"/>
    <mergeCell ref="DA51:DC53"/>
    <mergeCell ref="ED53:EG53"/>
    <mergeCell ref="DZ54:EC54"/>
    <mergeCell ref="CR54:CT54"/>
    <mergeCell ref="CU54:CW54"/>
    <mergeCell ref="CX54:CZ54"/>
    <mergeCell ref="DA54:DC54"/>
    <mergeCell ref="DP53:DR53"/>
    <mergeCell ref="DS53:DU53"/>
    <mergeCell ref="DV53:DY53"/>
    <mergeCell ref="FB1:FE1"/>
    <mergeCell ref="CG58:CH58"/>
    <mergeCell ref="EI57:EM57"/>
    <mergeCell ref="EN57:FD57"/>
    <mergeCell ref="DM50:DO54"/>
    <mergeCell ref="DP50:EG52"/>
    <mergeCell ref="CI54:CK54"/>
    <mergeCell ref="CL54:CN54"/>
    <mergeCell ref="CO54:CQ54"/>
    <mergeCell ref="ED54:EG54"/>
    <mergeCell ref="EH50:FD52"/>
    <mergeCell ref="EH53:ER53"/>
    <mergeCell ref="ES53:EV53"/>
    <mergeCell ref="EW53:EZ53"/>
    <mergeCell ref="FA53:FD53"/>
    <mergeCell ref="CI50:CK53"/>
    <mergeCell ref="DD50:DF53"/>
    <mergeCell ref="DG50:DI53"/>
    <mergeCell ref="DJ50:DL53"/>
    <mergeCell ref="CG53:CH57"/>
    <mergeCell ref="CL50:CN53"/>
    <mergeCell ref="CO50:CQ53"/>
    <mergeCell ref="CR50:CT53"/>
    <mergeCell ref="CU50:CW53"/>
    <mergeCell ref="CL57:CT57"/>
    <mergeCell ref="CU57:EH57"/>
    <mergeCell ref="CI55:CK57"/>
    <mergeCell ref="CL55:FD55"/>
    <mergeCell ref="CL56:CT56"/>
    <mergeCell ref="EH54:ER54"/>
    <mergeCell ref="ES54:EV54"/>
    <mergeCell ref="EW54:EZ54"/>
    <mergeCell ref="FA54:FD54"/>
    <mergeCell ref="DD54:DF54"/>
    <mergeCell ref="DG54:DI54"/>
    <mergeCell ref="CU56:FD56"/>
    <mergeCell ref="DJ54:DL54"/>
    <mergeCell ref="DP54:DR54"/>
    <mergeCell ref="DS54:DU54"/>
    <mergeCell ref="DV54:DY54"/>
    <mergeCell ref="CL41:CL43"/>
    <mergeCell ref="CM41:CP41"/>
    <mergeCell ref="CR41:CX41"/>
    <mergeCell ref="DA41:DG41"/>
    <mergeCell ref="DI41:DJ42"/>
    <mergeCell ref="CM47:CP47"/>
    <mergeCell ref="CM49:DN49"/>
    <mergeCell ref="DS49:ET49"/>
    <mergeCell ref="CM48:CP48"/>
    <mergeCell ref="CR48:CX48"/>
    <mergeCell ref="DA48:DG48"/>
    <mergeCell ref="DS48:DV48"/>
    <mergeCell ref="DX48:ED48"/>
    <mergeCell ref="EG48:EM48"/>
    <mergeCell ref="DX47:ED47"/>
    <mergeCell ref="EG47:EM47"/>
    <mergeCell ref="EO47:EP48"/>
    <mergeCell ref="EQ47:ET48"/>
    <mergeCell ref="CR47:CX47"/>
    <mergeCell ref="DA47:DG47"/>
    <mergeCell ref="DI47:DJ48"/>
    <mergeCell ref="DK47:DN48"/>
    <mergeCell ref="DR47:DR49"/>
    <mergeCell ref="DS47:DV47"/>
    <mergeCell ref="DA45:DG45"/>
    <mergeCell ref="DS45:DV45"/>
    <mergeCell ref="DX45:ED45"/>
    <mergeCell ref="CM46:DN46"/>
    <mergeCell ref="DS46:ET46"/>
    <mergeCell ref="EO41:EP42"/>
    <mergeCell ref="DS42:DV42"/>
    <mergeCell ref="DX42:ED42"/>
    <mergeCell ref="EG42:EM42"/>
    <mergeCell ref="CL47:CL49"/>
    <mergeCell ref="DS43:ET43"/>
    <mergeCell ref="EQ41:ET42"/>
    <mergeCell ref="CM42:CP42"/>
    <mergeCell ref="CR42:CX42"/>
    <mergeCell ref="DA42:DG42"/>
    <mergeCell ref="DK41:DN42"/>
    <mergeCell ref="CM43:DN43"/>
    <mergeCell ref="EG39:EM39"/>
    <mergeCell ref="DR44:DR46"/>
    <mergeCell ref="DS44:DV44"/>
    <mergeCell ref="DX44:ED44"/>
    <mergeCell ref="EG44:EM44"/>
    <mergeCell ref="EO44:EP45"/>
    <mergeCell ref="EQ44:ET45"/>
    <mergeCell ref="EG45:EM45"/>
    <mergeCell ref="CL44:CL46"/>
    <mergeCell ref="CM44:CP44"/>
    <mergeCell ref="CR44:CX44"/>
    <mergeCell ref="DA44:DG44"/>
    <mergeCell ref="DI44:DJ45"/>
    <mergeCell ref="DK44:DN45"/>
    <mergeCell ref="CM45:CP45"/>
    <mergeCell ref="CR45:CX45"/>
    <mergeCell ref="CI38:CK49"/>
    <mergeCell ref="CL38:CL40"/>
    <mergeCell ref="CM38:CP38"/>
    <mergeCell ref="CR38:CX38"/>
    <mergeCell ref="DA38:DG38"/>
    <mergeCell ref="CM39:CP39"/>
    <mergeCell ref="CR39:CX39"/>
    <mergeCell ref="DA39:DG39"/>
    <mergeCell ref="EO36:EP36"/>
    <mergeCell ref="CI33:CL37"/>
    <mergeCell ref="EG38:EM38"/>
    <mergeCell ref="DR41:DR43"/>
    <mergeCell ref="DS41:DV41"/>
    <mergeCell ref="DX41:ED41"/>
    <mergeCell ref="EG41:EM41"/>
    <mergeCell ref="DI38:DJ39"/>
    <mergeCell ref="DK38:DN39"/>
    <mergeCell ref="DO38:DQ49"/>
    <mergeCell ref="DR38:DR40"/>
    <mergeCell ref="DS38:DV38"/>
    <mergeCell ref="DX38:ED38"/>
    <mergeCell ref="DS39:DV39"/>
    <mergeCell ref="DX39:ED39"/>
    <mergeCell ref="CM40:DN40"/>
    <mergeCell ref="CM35:CP36"/>
    <mergeCell ref="CR35:CX36"/>
    <mergeCell ref="DA35:DG36"/>
    <mergeCell ref="EO38:EP39"/>
    <mergeCell ref="EQ38:ET39"/>
    <mergeCell ref="EO33:EP33"/>
    <mergeCell ref="EQ33:EW35"/>
    <mergeCell ref="FC33:FD33"/>
    <mergeCell ref="DV34:EB37"/>
    <mergeCell ref="EJ34:EP35"/>
    <mergeCell ref="EX34:FD35"/>
    <mergeCell ref="EC36:EI37"/>
    <mergeCell ref="DA33:DG34"/>
    <mergeCell ref="DI33:DJ36"/>
    <mergeCell ref="DK33:DN36"/>
    <mergeCell ref="DO33:DU37"/>
    <mergeCell ref="EA33:EB33"/>
    <mergeCell ref="EC33:EI35"/>
    <mergeCell ref="CM37:DN37"/>
    <mergeCell ref="CM33:CP34"/>
    <mergeCell ref="CR33:CX34"/>
    <mergeCell ref="EJ37:EP37"/>
    <mergeCell ref="EU38:FD49"/>
    <mergeCell ref="DS40:ET40"/>
    <mergeCell ref="EX37:FD37"/>
    <mergeCell ref="EI31:EO32"/>
    <mergeCell ref="FC31:FD31"/>
    <mergeCell ref="CT32:DA32"/>
    <mergeCell ref="DI32:DK32"/>
    <mergeCell ref="DN32:DO32"/>
    <mergeCell ref="DB31:DH32"/>
    <mergeCell ref="DK31:DL31"/>
    <mergeCell ref="DO31:DP31"/>
    <mergeCell ref="DS31:DT31"/>
    <mergeCell ref="DU31:EA32"/>
    <mergeCell ref="EB31:EH32"/>
    <mergeCell ref="DR32:DS32"/>
    <mergeCell ref="EQ36:EW37"/>
    <mergeCell ref="FC36:FD36"/>
    <mergeCell ref="CM31:CS32"/>
    <mergeCell ref="EI29:EO30"/>
    <mergeCell ref="FC29:FD29"/>
    <mergeCell ref="DI30:DK30"/>
    <mergeCell ref="DN30:DO30"/>
    <mergeCell ref="DR30:DS30"/>
    <mergeCell ref="EQ30:FD30"/>
    <mergeCell ref="DB29:DH30"/>
    <mergeCell ref="DK29:DL29"/>
    <mergeCell ref="DO29:DP29"/>
    <mergeCell ref="DS29:DT29"/>
    <mergeCell ref="DU29:EA30"/>
    <mergeCell ref="EB29:EH30"/>
    <mergeCell ref="EB23:EP23"/>
    <mergeCell ref="EQ23:FD23"/>
    <mergeCell ref="CR24:FD26"/>
    <mergeCell ref="CI29:CL32"/>
    <mergeCell ref="CM29:CS30"/>
    <mergeCell ref="CT29:DA30"/>
    <mergeCell ref="EQ32:FD32"/>
    <mergeCell ref="EC27:EH28"/>
    <mergeCell ref="EO27:EP27"/>
    <mergeCell ref="EQ27:EV28"/>
    <mergeCell ref="FC27:FD27"/>
    <mergeCell ref="CT28:CZ28"/>
    <mergeCell ref="CM27:CR28"/>
    <mergeCell ref="CY27:CZ27"/>
    <mergeCell ref="DA27:DF28"/>
    <mergeCell ref="DM27:DN27"/>
    <mergeCell ref="DO27:DT28"/>
    <mergeCell ref="EA27:EB27"/>
    <mergeCell ref="DH28:DN28"/>
    <mergeCell ref="DV28:EB28"/>
    <mergeCell ref="CZ31:DA31"/>
    <mergeCell ref="CI27:CL28"/>
    <mergeCell ref="EJ28:EP28"/>
    <mergeCell ref="EX28:FD28"/>
    <mergeCell ref="CI19:CM20"/>
    <mergeCell ref="CN19:CQ20"/>
    <mergeCell ref="CR19:CU20"/>
    <mergeCell ref="CV19:DH20"/>
    <mergeCell ref="DI19:DK20"/>
    <mergeCell ref="DL19:DN20"/>
    <mergeCell ref="CK25:CP25"/>
    <mergeCell ref="CK26:CP26"/>
    <mergeCell ref="CI23:CW23"/>
    <mergeCell ref="CX23:DL23"/>
    <mergeCell ref="DM23:EA23"/>
    <mergeCell ref="EA18:EC18"/>
    <mergeCell ref="ED18:EF18"/>
    <mergeCell ref="EG18:EI18"/>
    <mergeCell ref="EJ18:EM18"/>
    <mergeCell ref="EN18:EQ18"/>
    <mergeCell ref="ER18:EU18"/>
    <mergeCell ref="EV18:EY18"/>
    <mergeCell ref="EZ18:FD18"/>
    <mergeCell ref="DX18:DZ18"/>
    <mergeCell ref="CI18:CM18"/>
    <mergeCell ref="CN18:CQ18"/>
    <mergeCell ref="CI16:CQ17"/>
    <mergeCell ref="CR16:CU16"/>
    <mergeCell ref="DI18:DK18"/>
    <mergeCell ref="DL18:DN18"/>
    <mergeCell ref="DO18:DQ18"/>
    <mergeCell ref="DR18:DT18"/>
    <mergeCell ref="DU18:DW18"/>
    <mergeCell ref="CR18:CU18"/>
    <mergeCell ref="CV18:DH18"/>
    <mergeCell ref="EZ14:FD17"/>
    <mergeCell ref="CR17:CU17"/>
    <mergeCell ref="EA13:EO13"/>
    <mergeCell ref="EP13:FD13"/>
    <mergeCell ref="CI14:CU15"/>
    <mergeCell ref="CV14:DH17"/>
    <mergeCell ref="DI14:EI14"/>
    <mergeCell ref="EJ14:EM17"/>
    <mergeCell ref="EN14:EY14"/>
    <mergeCell ref="DI15:EI16"/>
    <mergeCell ref="EN15:EY16"/>
    <mergeCell ref="DI17:DN17"/>
    <mergeCell ref="DO17:DW17"/>
    <mergeCell ref="DX17:EC17"/>
    <mergeCell ref="ED17:EI17"/>
    <mergeCell ref="EN17:EU17"/>
    <mergeCell ref="EV17:EY17"/>
    <mergeCell ref="DL12:DZ12"/>
    <mergeCell ref="EA12:EO12"/>
    <mergeCell ref="ER12:FB12"/>
    <mergeCell ref="FC12:FD12"/>
    <mergeCell ref="CW13:DK13"/>
    <mergeCell ref="DL13:DZ13"/>
    <mergeCell ref="CI12:CV13"/>
    <mergeCell ref="CW12:CX12"/>
    <mergeCell ref="CY12:DI12"/>
    <mergeCell ref="DJ12:DK12"/>
    <mergeCell ref="CW11:DK11"/>
    <mergeCell ref="DL11:DZ11"/>
    <mergeCell ref="EA11:EO11"/>
    <mergeCell ref="EP11:FD11"/>
    <mergeCell ref="CI11:CV11"/>
    <mergeCell ref="DX9:DZ10"/>
    <mergeCell ref="EA9:ED9"/>
    <mergeCell ref="DX7:FD7"/>
    <mergeCell ref="DX8:ED8"/>
    <mergeCell ref="EE8:FD8"/>
    <mergeCell ref="CQ6:DW10"/>
    <mergeCell ref="EG6:FD6"/>
    <mergeCell ref="CI6:CM10"/>
    <mergeCell ref="CN6:CP10"/>
    <mergeCell ref="DA5:DC5"/>
    <mergeCell ref="DL5:EK5"/>
    <mergeCell ref="I57:Q57"/>
    <mergeCell ref="R57:BE57"/>
    <mergeCell ref="BF57:BJ57"/>
    <mergeCell ref="BK57:CA57"/>
    <mergeCell ref="EE9:EP9"/>
    <mergeCell ref="ES9:FD9"/>
    <mergeCell ref="EE10:EP10"/>
    <mergeCell ref="ES10:FD10"/>
    <mergeCell ref="AP54:AR54"/>
    <mergeCell ref="AS54:AV54"/>
    <mergeCell ref="I56:Q56"/>
    <mergeCell ref="R56:CA56"/>
    <mergeCell ref="AN55:AO55"/>
    <mergeCell ref="AP55:AQ55"/>
    <mergeCell ref="AF55:AG55"/>
    <mergeCell ref="AH55:AI55"/>
    <mergeCell ref="AJ55:AK55"/>
    <mergeCell ref="AL55:AM55"/>
    <mergeCell ref="R55:S55"/>
    <mergeCell ref="T55:U55"/>
    <mergeCell ref="V55:W55"/>
    <mergeCell ref="BT54:BW54"/>
    <mergeCell ref="BE53:BO53"/>
    <mergeCell ref="BX54:CA54"/>
    <mergeCell ref="AW54:AZ54"/>
    <mergeCell ref="BA54:BD54"/>
    <mergeCell ref="BE54:BO54"/>
    <mergeCell ref="BP54:BS54"/>
    <mergeCell ref="F54:H54"/>
    <mergeCell ref="I54:K54"/>
    <mergeCell ref="L54:N54"/>
    <mergeCell ref="O54:Q54"/>
    <mergeCell ref="R54:T54"/>
    <mergeCell ref="U54:W54"/>
    <mergeCell ref="X54:Z54"/>
    <mergeCell ref="D53:E58"/>
    <mergeCell ref="AM53:AO53"/>
    <mergeCell ref="AP53:AR53"/>
    <mergeCell ref="AS53:AV53"/>
    <mergeCell ref="AW53:AZ53"/>
    <mergeCell ref="BA53:BD53"/>
    <mergeCell ref="AA54:AC54"/>
    <mergeCell ref="AD54:AF54"/>
    <mergeCell ref="AG54:AI54"/>
    <mergeCell ref="AM54:AO54"/>
    <mergeCell ref="U51:W53"/>
    <mergeCell ref="X51:Z53"/>
    <mergeCell ref="AD50:AF53"/>
    <mergeCell ref="AG50:AI53"/>
    <mergeCell ref="AJ50:AL54"/>
    <mergeCell ref="AM50:BD52"/>
    <mergeCell ref="F50:H53"/>
    <mergeCell ref="AB55:AC55"/>
    <mergeCell ref="AD55:AE55"/>
    <mergeCell ref="F55:H57"/>
    <mergeCell ref="I55:Q55"/>
    <mergeCell ref="X55:Y55"/>
    <mergeCell ref="Z55:AA55"/>
    <mergeCell ref="BE50:CA52"/>
    <mergeCell ref="J49:M49"/>
    <mergeCell ref="N49:O49"/>
    <mergeCell ref="P49:Q49"/>
    <mergeCell ref="R49:S49"/>
    <mergeCell ref="T49:U49"/>
    <mergeCell ref="V49:W49"/>
    <mergeCell ref="X49:Y49"/>
    <mergeCell ref="Z49:AA49"/>
    <mergeCell ref="AB49:AC49"/>
    <mergeCell ref="I50:K53"/>
    <mergeCell ref="L50:N53"/>
    <mergeCell ref="O50:Q53"/>
    <mergeCell ref="R50:T53"/>
    <mergeCell ref="U50:Z50"/>
    <mergeCell ref="AA50:AC53"/>
    <mergeCell ref="AD49:AE49"/>
    <mergeCell ref="AF49:AG49"/>
    <mergeCell ref="AH49:AI49"/>
    <mergeCell ref="AJ49:AK49"/>
    <mergeCell ref="I47:I49"/>
    <mergeCell ref="BP53:BS53"/>
    <mergeCell ref="BT53:BW53"/>
    <mergeCell ref="BX53:CA53"/>
    <mergeCell ref="AP47:AS47"/>
    <mergeCell ref="AU47:BA47"/>
    <mergeCell ref="BP49:BQ49"/>
    <mergeCell ref="AV49:AW49"/>
    <mergeCell ref="AX49:AY49"/>
    <mergeCell ref="AZ49:BA49"/>
    <mergeCell ref="BB49:BC49"/>
    <mergeCell ref="BD49:BE49"/>
    <mergeCell ref="BF49:BG49"/>
    <mergeCell ref="AP49:AS49"/>
    <mergeCell ref="AT49:AU49"/>
    <mergeCell ref="BH49:BI49"/>
    <mergeCell ref="BJ49:BK49"/>
    <mergeCell ref="BL49:BM49"/>
    <mergeCell ref="BN49:BO49"/>
    <mergeCell ref="J48:M48"/>
    <mergeCell ref="O48:U48"/>
    <mergeCell ref="X48:AD48"/>
    <mergeCell ref="AP48:AS48"/>
    <mergeCell ref="AU48:BA48"/>
    <mergeCell ref="BD48:BJ48"/>
    <mergeCell ref="BR48:CA48"/>
    <mergeCell ref="AX46:AY46"/>
    <mergeCell ref="AZ46:BA46"/>
    <mergeCell ref="BD47:BJ47"/>
    <mergeCell ref="BL47:BM48"/>
    <mergeCell ref="BN47:BQ48"/>
    <mergeCell ref="BR47:CA47"/>
    <mergeCell ref="J47:M47"/>
    <mergeCell ref="O47:U47"/>
    <mergeCell ref="X47:AD47"/>
    <mergeCell ref="AF47:AG48"/>
    <mergeCell ref="AH47:AK48"/>
    <mergeCell ref="AO47:AO49"/>
    <mergeCell ref="X46:Y46"/>
    <mergeCell ref="Z46:AA46"/>
    <mergeCell ref="AB46:AC46"/>
    <mergeCell ref="AD46:AE46"/>
    <mergeCell ref="AF46:AG46"/>
    <mergeCell ref="BB46:BC46"/>
    <mergeCell ref="BD46:BE46"/>
    <mergeCell ref="AZ43:BA43"/>
    <mergeCell ref="BB43:BC43"/>
    <mergeCell ref="BD43:BE43"/>
    <mergeCell ref="BF43:BG43"/>
    <mergeCell ref="BH43:BI43"/>
    <mergeCell ref="BR46:CA46"/>
    <mergeCell ref="BF46:BG46"/>
    <mergeCell ref="BH46:BI46"/>
    <mergeCell ref="BJ46:BK46"/>
    <mergeCell ref="BL46:BM46"/>
    <mergeCell ref="BN46:BO46"/>
    <mergeCell ref="BN43:BO43"/>
    <mergeCell ref="BP43:BQ43"/>
    <mergeCell ref="AU45:BA45"/>
    <mergeCell ref="AU44:BA44"/>
    <mergeCell ref="BD44:BJ44"/>
    <mergeCell ref="BL44:BM45"/>
    <mergeCell ref="BN44:BQ45"/>
    <mergeCell ref="BD45:BJ45"/>
    <mergeCell ref="BR45:CA45"/>
    <mergeCell ref="AF43:AG43"/>
    <mergeCell ref="AH43:AI43"/>
    <mergeCell ref="AP40:AS40"/>
    <mergeCell ref="I44:I46"/>
    <mergeCell ref="J44:M44"/>
    <mergeCell ref="O44:U44"/>
    <mergeCell ref="X44:AD44"/>
    <mergeCell ref="AF44:AG45"/>
    <mergeCell ref="AH44:AK45"/>
    <mergeCell ref="AO44:AO46"/>
    <mergeCell ref="AP45:AS45"/>
    <mergeCell ref="AP44:AS44"/>
    <mergeCell ref="AH46:AI46"/>
    <mergeCell ref="J46:M46"/>
    <mergeCell ref="N46:O46"/>
    <mergeCell ref="P46:Q46"/>
    <mergeCell ref="R46:S46"/>
    <mergeCell ref="T46:U46"/>
    <mergeCell ref="V46:W46"/>
    <mergeCell ref="J45:M45"/>
    <mergeCell ref="O45:U45"/>
    <mergeCell ref="X45:AD45"/>
    <mergeCell ref="J43:M43"/>
    <mergeCell ref="N43:O43"/>
    <mergeCell ref="P43:Q43"/>
    <mergeCell ref="R43:S43"/>
    <mergeCell ref="T43:U43"/>
    <mergeCell ref="V43:W43"/>
    <mergeCell ref="J42:M42"/>
    <mergeCell ref="O42:U42"/>
    <mergeCell ref="X42:AD42"/>
    <mergeCell ref="X43:Y43"/>
    <mergeCell ref="Z43:AA43"/>
    <mergeCell ref="AB43:AC43"/>
    <mergeCell ref="AD43:AE43"/>
    <mergeCell ref="AH41:AK42"/>
    <mergeCell ref="BD42:BJ42"/>
    <mergeCell ref="AO41:AO43"/>
    <mergeCell ref="AP41:AS41"/>
    <mergeCell ref="AU41:BA41"/>
    <mergeCell ref="BD41:BJ41"/>
    <mergeCell ref="BL41:BM42"/>
    <mergeCell ref="AJ43:AK43"/>
    <mergeCell ref="AP43:AS43"/>
    <mergeCell ref="AT43:AU43"/>
    <mergeCell ref="AV43:AW43"/>
    <mergeCell ref="AP42:AS42"/>
    <mergeCell ref="AU42:BA42"/>
    <mergeCell ref="BJ43:BK43"/>
    <mergeCell ref="BL43:BM43"/>
    <mergeCell ref="AX43:AY43"/>
    <mergeCell ref="BR38:CA38"/>
    <mergeCell ref="BR40:CA40"/>
    <mergeCell ref="AX40:AY40"/>
    <mergeCell ref="AZ40:BA40"/>
    <mergeCell ref="BB40:BC40"/>
    <mergeCell ref="BD40:BE40"/>
    <mergeCell ref="BF40:BG40"/>
    <mergeCell ref="BH40:BI40"/>
    <mergeCell ref="Z40:AA40"/>
    <mergeCell ref="AB40:AC40"/>
    <mergeCell ref="AD40:AE40"/>
    <mergeCell ref="AF40:AG40"/>
    <mergeCell ref="AH40:AI40"/>
    <mergeCell ref="AJ40:AK40"/>
    <mergeCell ref="BL40:BM40"/>
    <mergeCell ref="BN40:BO40"/>
    <mergeCell ref="BP40:BQ40"/>
    <mergeCell ref="AU38:BA38"/>
    <mergeCell ref="BD38:BJ38"/>
    <mergeCell ref="BL38:BM39"/>
    <mergeCell ref="BD39:BJ39"/>
    <mergeCell ref="BJ40:BK40"/>
    <mergeCell ref="AT40:AU40"/>
    <mergeCell ref="AV40:AW40"/>
    <mergeCell ref="BR39:CA39"/>
    <mergeCell ref="AL38:AN49"/>
    <mergeCell ref="AO38:AO40"/>
    <mergeCell ref="J37:M37"/>
    <mergeCell ref="P40:Q40"/>
    <mergeCell ref="F33:I37"/>
    <mergeCell ref="J33:M34"/>
    <mergeCell ref="O33:U34"/>
    <mergeCell ref="BN41:BQ42"/>
    <mergeCell ref="BR41:CA41"/>
    <mergeCell ref="AP38:AS38"/>
    <mergeCell ref="BP46:BQ46"/>
    <mergeCell ref="AJ46:AK46"/>
    <mergeCell ref="AP46:AS46"/>
    <mergeCell ref="V40:W40"/>
    <mergeCell ref="X40:Y40"/>
    <mergeCell ref="J39:M39"/>
    <mergeCell ref="O39:U39"/>
    <mergeCell ref="X39:AD39"/>
    <mergeCell ref="AP39:AS39"/>
    <mergeCell ref="AU39:BA39"/>
    <mergeCell ref="AV46:AW46"/>
    <mergeCell ref="AT46:AU46"/>
    <mergeCell ref="BN38:BQ39"/>
    <mergeCell ref="F38:H49"/>
    <mergeCell ref="I38:I40"/>
    <mergeCell ref="J38:M38"/>
    <mergeCell ref="O38:U38"/>
    <mergeCell ref="X38:AD38"/>
    <mergeCell ref="AF38:AG39"/>
    <mergeCell ref="AH38:AK39"/>
    <mergeCell ref="Z37:AA37"/>
    <mergeCell ref="AB37:AC37"/>
    <mergeCell ref="AD37:AE37"/>
    <mergeCell ref="AF37:AG37"/>
    <mergeCell ref="AH37:AI37"/>
    <mergeCell ref="AJ37:AK37"/>
    <mergeCell ref="N37:O37"/>
    <mergeCell ref="P37:Q37"/>
    <mergeCell ref="I41:I43"/>
    <mergeCell ref="J41:M41"/>
    <mergeCell ref="O41:U41"/>
    <mergeCell ref="X41:AD41"/>
    <mergeCell ref="AF41:AG42"/>
    <mergeCell ref="J40:M40"/>
    <mergeCell ref="N40:O40"/>
    <mergeCell ref="R40:S40"/>
    <mergeCell ref="T40:U40"/>
    <mergeCell ref="J35:M36"/>
    <mergeCell ref="O35:U36"/>
    <mergeCell ref="X35:AD36"/>
    <mergeCell ref="AZ36:BF37"/>
    <mergeCell ref="BL36:BM36"/>
    <mergeCell ref="BN36:BT37"/>
    <mergeCell ref="BZ36:CA36"/>
    <mergeCell ref="AS34:AY37"/>
    <mergeCell ref="BG34:BM35"/>
    <mergeCell ref="BU34:CA35"/>
    <mergeCell ref="X33:AD34"/>
    <mergeCell ref="AF33:AG36"/>
    <mergeCell ref="AH33:AK36"/>
    <mergeCell ref="AL33:AR37"/>
    <mergeCell ref="AX33:AY33"/>
    <mergeCell ref="AZ33:BF35"/>
    <mergeCell ref="R37:S37"/>
    <mergeCell ref="T37:U37"/>
    <mergeCell ref="V37:W37"/>
    <mergeCell ref="X37:Y37"/>
    <mergeCell ref="BZ33:CA33"/>
    <mergeCell ref="BG37:BM37"/>
    <mergeCell ref="BU37:CA37"/>
    <mergeCell ref="BL33:BM33"/>
    <mergeCell ref="BN33:BT35"/>
    <mergeCell ref="Q32:X32"/>
    <mergeCell ref="AF32:AH32"/>
    <mergeCell ref="AK32:AL32"/>
    <mergeCell ref="AO32:AP32"/>
    <mergeCell ref="BN32:CA32"/>
    <mergeCell ref="AR31:AX32"/>
    <mergeCell ref="AY31:BE32"/>
    <mergeCell ref="BF31:BL32"/>
    <mergeCell ref="BZ31:CA31"/>
    <mergeCell ref="W31:X31"/>
    <mergeCell ref="Y31:AE32"/>
    <mergeCell ref="AH31:AI31"/>
    <mergeCell ref="AL31:AM31"/>
    <mergeCell ref="AP31:AQ31"/>
    <mergeCell ref="AF30:AH30"/>
    <mergeCell ref="AK30:AL30"/>
    <mergeCell ref="AO30:AP30"/>
    <mergeCell ref="BN30:CA30"/>
    <mergeCell ref="AY29:BE30"/>
    <mergeCell ref="BF29:BL30"/>
    <mergeCell ref="BZ29:CA29"/>
    <mergeCell ref="F29:I32"/>
    <mergeCell ref="J29:P30"/>
    <mergeCell ref="Q29:X30"/>
    <mergeCell ref="Y29:AE30"/>
    <mergeCell ref="AH29:AI29"/>
    <mergeCell ref="AL29:AM29"/>
    <mergeCell ref="AP29:AQ29"/>
    <mergeCell ref="AR29:AX30"/>
    <mergeCell ref="J31:P32"/>
    <mergeCell ref="AJ27:AK27"/>
    <mergeCell ref="AL27:AQ28"/>
    <mergeCell ref="H25:M25"/>
    <mergeCell ref="H26:M26"/>
    <mergeCell ref="Q28:W28"/>
    <mergeCell ref="AE28:AK28"/>
    <mergeCell ref="AS28:AY28"/>
    <mergeCell ref="BG28:BM28"/>
    <mergeCell ref="BU28:CA28"/>
    <mergeCell ref="AX27:AY27"/>
    <mergeCell ref="AZ27:BE28"/>
    <mergeCell ref="BL27:BM27"/>
    <mergeCell ref="BN27:BS28"/>
    <mergeCell ref="BZ27:CA27"/>
    <mergeCell ref="O24:CA26"/>
    <mergeCell ref="F21:T21"/>
    <mergeCell ref="AH22:AI22"/>
    <mergeCell ref="U22:V22"/>
    <mergeCell ref="F22:T22"/>
    <mergeCell ref="F23:T23"/>
    <mergeCell ref="F27:I28"/>
    <mergeCell ref="J27:O28"/>
    <mergeCell ref="V27:W27"/>
    <mergeCell ref="X27:AC28"/>
    <mergeCell ref="X22:AG22"/>
    <mergeCell ref="U21:AI21"/>
    <mergeCell ref="U23:AI23"/>
    <mergeCell ref="BO19:BR20"/>
    <mergeCell ref="BO18:BR18"/>
    <mergeCell ref="F14:R15"/>
    <mergeCell ref="S14:AE17"/>
    <mergeCell ref="BG14:BJ17"/>
    <mergeCell ref="T13:AH13"/>
    <mergeCell ref="AI13:AW13"/>
    <mergeCell ref="AX13:BL13"/>
    <mergeCell ref="BM13:CA13"/>
    <mergeCell ref="BW19:CA20"/>
    <mergeCell ref="AR19:AT20"/>
    <mergeCell ref="F19:J20"/>
    <mergeCell ref="K19:N20"/>
    <mergeCell ref="O19:R20"/>
    <mergeCell ref="S19:AE20"/>
    <mergeCell ref="AI19:AK20"/>
    <mergeCell ref="AF19:AH20"/>
    <mergeCell ref="AL19:AN20"/>
    <mergeCell ref="AO19:AQ20"/>
    <mergeCell ref="AU19:AW20"/>
    <mergeCell ref="BS19:BV20"/>
    <mergeCell ref="F18:J18"/>
    <mergeCell ref="K18:N18"/>
    <mergeCell ref="O18:R18"/>
    <mergeCell ref="S18:AE18"/>
    <mergeCell ref="F16:N17"/>
    <mergeCell ref="O16:R16"/>
    <mergeCell ref="O17:R17"/>
    <mergeCell ref="BK17:BR17"/>
    <mergeCell ref="AG12:AH12"/>
    <mergeCell ref="AR18:AT18"/>
    <mergeCell ref="AX18:AZ18"/>
    <mergeCell ref="BZ12:CA12"/>
    <mergeCell ref="T12:U12"/>
    <mergeCell ref="V12:AF12"/>
    <mergeCell ref="AI12:AW12"/>
    <mergeCell ref="T11:AH11"/>
    <mergeCell ref="AI11:AW11"/>
    <mergeCell ref="AX11:BL11"/>
    <mergeCell ref="BM11:CA11"/>
    <mergeCell ref="BW14:CA17"/>
    <mergeCell ref="AF17:AK17"/>
    <mergeCell ref="AL17:AT17"/>
    <mergeCell ref="AU17:AZ17"/>
    <mergeCell ref="BK15:BV16"/>
    <mergeCell ref="BK14:BV14"/>
    <mergeCell ref="BB9:BM9"/>
    <mergeCell ref="BP9:CA9"/>
    <mergeCell ref="F6:J10"/>
    <mergeCell ref="K6:O6"/>
    <mergeCell ref="BD6:CA6"/>
    <mergeCell ref="K7:M10"/>
    <mergeCell ref="BR7:BS7"/>
    <mergeCell ref="BT7:BU7"/>
    <mergeCell ref="BV7:BW7"/>
    <mergeCell ref="BX7:BY7"/>
    <mergeCell ref="B4:E5"/>
    <mergeCell ref="F4:AR4"/>
    <mergeCell ref="AS4:BB4"/>
    <mergeCell ref="BC4:BN4"/>
    <mergeCell ref="BO4:CA4"/>
    <mergeCell ref="AU8:BA8"/>
    <mergeCell ref="BB8:CA8"/>
    <mergeCell ref="BZ7:CA7"/>
    <mergeCell ref="BF7:BG7"/>
    <mergeCell ref="BH7:BI7"/>
    <mergeCell ref="BJ7:BK7"/>
    <mergeCell ref="BL7:BM7"/>
    <mergeCell ref="BN7:BO7"/>
    <mergeCell ref="BP7:BQ7"/>
    <mergeCell ref="N7:AT10"/>
    <mergeCell ref="AU7:BC7"/>
    <mergeCell ref="BD7:BE7"/>
    <mergeCell ref="AS5:BB5"/>
    <mergeCell ref="BC5:BN5"/>
    <mergeCell ref="BO5:CA5"/>
    <mergeCell ref="BB10:BM10"/>
    <mergeCell ref="BP10:CA10"/>
    <mergeCell ref="AU9:AW10"/>
    <mergeCell ref="AX9:BA9"/>
    <mergeCell ref="F11:S11"/>
    <mergeCell ref="BS17:BV17"/>
    <mergeCell ref="BA17:BF17"/>
    <mergeCell ref="BA18:BC18"/>
    <mergeCell ref="BD18:BF18"/>
    <mergeCell ref="BA19:BC20"/>
    <mergeCell ref="BD19:BF20"/>
    <mergeCell ref="AF15:BF16"/>
    <mergeCell ref="AF14:BF14"/>
    <mergeCell ref="AI18:AK18"/>
    <mergeCell ref="BG18:BJ18"/>
    <mergeCell ref="BK18:BN18"/>
    <mergeCell ref="AX12:BL12"/>
    <mergeCell ref="BO12:BY12"/>
    <mergeCell ref="AF18:AH18"/>
    <mergeCell ref="AL18:AN18"/>
    <mergeCell ref="AO18:AQ18"/>
    <mergeCell ref="AU18:AW18"/>
    <mergeCell ref="BS18:BV18"/>
    <mergeCell ref="BW18:CA18"/>
    <mergeCell ref="F12:S13"/>
    <mergeCell ref="AX19:AZ20"/>
    <mergeCell ref="BG19:BJ20"/>
    <mergeCell ref="BK19:BN20"/>
    <mergeCell ref="AY23:BM23"/>
    <mergeCell ref="AY22:BM22"/>
    <mergeCell ref="AY21:BM21"/>
    <mergeCell ref="BN21:CA21"/>
    <mergeCell ref="BN22:CA22"/>
    <mergeCell ref="BN23:CA23"/>
    <mergeCell ref="AJ21:AX21"/>
    <mergeCell ref="AJ22:AX22"/>
    <mergeCell ref="AJ23:AX23"/>
    <mergeCell ref="EV19:EY20"/>
    <mergeCell ref="CI21:CW21"/>
    <mergeCell ref="CX21:DL21"/>
    <mergeCell ref="DM21:EA21"/>
    <mergeCell ref="EB21:EP21"/>
    <mergeCell ref="EQ21:FD21"/>
    <mergeCell ref="CI22:CW22"/>
    <mergeCell ref="CX22:CY22"/>
    <mergeCell ref="DA22:DJ22"/>
    <mergeCell ref="DK22:DL22"/>
    <mergeCell ref="DM22:EA22"/>
    <mergeCell ref="EB22:EP22"/>
    <mergeCell ref="EQ22:FD22"/>
    <mergeCell ref="DO19:DQ20"/>
    <mergeCell ref="DR19:DT20"/>
    <mergeCell ref="DU19:DW20"/>
    <mergeCell ref="EA19:EC20"/>
    <mergeCell ref="ED19:EF20"/>
    <mergeCell ref="EG19:EI20"/>
    <mergeCell ref="EJ19:EM20"/>
    <mergeCell ref="EN19:EQ20"/>
    <mergeCell ref="ER19:EU20"/>
    <mergeCell ref="EZ19:FD20"/>
    <mergeCell ref="DX19:DZ20"/>
  </mergeCells>
  <phoneticPr fontId="3"/>
  <printOptions verticalCentered="1"/>
  <pageMargins left="0.19685039370078741" right="0.19685039370078741" top="0.19685039370078741" bottom="0.19685039370078741" header="0.11811023622047245" footer="0.11811023622047245"/>
  <pageSetup paperSize="9" scale="49" fitToWidth="2" orientation="landscape" r:id="rId1"/>
  <headerFooter alignWithMargins="0"/>
  <ignoredErrors>
    <ignoredError sqref="BO12" unlockedFormula="1"/>
    <ignoredError sqref="CG58" numberStoredAsText="1"/>
    <ignoredError sqref="AX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4538-0B1E-49E1-8325-887E9475DBFE}">
  <sheetPr>
    <pageSetUpPr fitToPage="1"/>
  </sheetPr>
  <dimension ref="A1:FE60"/>
  <sheetViews>
    <sheetView zoomScale="70" zoomScaleNormal="70" workbookViewId="0">
      <selection activeCell="FB1" sqref="FB1:FE1"/>
    </sheetView>
  </sheetViews>
  <sheetFormatPr defaultColWidth="2" defaultRowHeight="12"/>
  <cols>
    <col min="1" max="79" width="2" style="72"/>
    <col min="80" max="80" width="0.7109375" style="72" customWidth="1"/>
    <col min="81" max="160" width="2" style="72"/>
    <col min="161" max="161" width="0.85546875" style="72" customWidth="1"/>
    <col min="162" max="16384" width="2" style="72"/>
  </cols>
  <sheetData>
    <row r="1" spans="1:161" s="70" customFormat="1" ht="18.75">
      <c r="A1" s="326" t="str">
        <f>+'07源泉'!A1</f>
        <v>すべて"07nen"sheetから転記されます。シートを保護してますので訂正はできません。(解除パスワードは"1111"です。)</v>
      </c>
      <c r="FB1" s="1294" t="str">
        <f>+'07nen'!Y1</f>
        <v>v2.52</v>
      </c>
      <c r="FC1" s="1294"/>
      <c r="FD1" s="1294"/>
      <c r="FE1" s="1294"/>
    </row>
    <row r="2" spans="1:161" s="70" customFormat="1" ht="24">
      <c r="A2" s="69"/>
    </row>
    <row r="3" spans="1:161">
      <c r="A3" s="98"/>
    </row>
    <row r="4" spans="1:161" s="97" customFormat="1" ht="14.25">
      <c r="A4" s="73"/>
      <c r="B4" s="72"/>
    </row>
    <row r="5" spans="1:161" ht="33" customHeight="1">
      <c r="A5" s="96"/>
      <c r="B5" s="127"/>
      <c r="C5" s="127"/>
      <c r="D5" s="127"/>
      <c r="E5" s="127"/>
      <c r="F5" s="119"/>
      <c r="G5" s="119"/>
      <c r="H5" s="119"/>
      <c r="I5" s="119"/>
      <c r="J5" s="119"/>
      <c r="K5" s="119"/>
      <c r="L5" s="119"/>
      <c r="M5" s="119"/>
      <c r="N5" s="199"/>
      <c r="O5" s="199"/>
      <c r="P5" s="199"/>
      <c r="Q5" s="200"/>
      <c r="R5" s="200"/>
      <c r="S5" s="200"/>
      <c r="T5" s="132"/>
      <c r="U5" s="133"/>
      <c r="V5" s="134"/>
      <c r="W5" s="134" t="s">
        <v>312</v>
      </c>
      <c r="X5" s="1005">
        <f>+'07源泉'!AS54</f>
        <v>7</v>
      </c>
      <c r="Y5" s="1005"/>
      <c r="Z5" s="1005"/>
      <c r="AA5" s="135" t="s">
        <v>125</v>
      </c>
      <c r="AC5" s="135"/>
      <c r="AD5" s="135"/>
      <c r="AE5" s="110"/>
      <c r="AI5" s="1366" t="s">
        <v>139</v>
      </c>
      <c r="AJ5" s="1366"/>
      <c r="AK5" s="1366"/>
      <c r="AL5" s="1366"/>
      <c r="AM5" s="1366"/>
      <c r="AN5" s="1366"/>
      <c r="AO5" s="1366"/>
      <c r="AP5" s="1366"/>
      <c r="AQ5" s="1366"/>
      <c r="AR5" s="1366"/>
      <c r="AS5" s="1366"/>
      <c r="AT5" s="1366"/>
      <c r="AU5" s="1366"/>
      <c r="AV5" s="1366"/>
      <c r="AW5" s="1366"/>
      <c r="AX5" s="1366"/>
      <c r="AY5" s="1366"/>
      <c r="AZ5" s="1366"/>
      <c r="BA5" s="1366"/>
      <c r="BB5" s="1366"/>
      <c r="BC5" s="1366"/>
      <c r="BD5" s="1366"/>
      <c r="BE5" s="1366"/>
      <c r="BF5" s="1366"/>
      <c r="BG5" s="1366"/>
      <c r="BH5" s="1366"/>
      <c r="BI5" s="119"/>
      <c r="BJ5" s="119"/>
      <c r="BK5" s="119"/>
      <c r="BL5" s="119"/>
      <c r="BM5" s="119"/>
      <c r="BN5" s="119"/>
      <c r="BO5" s="119"/>
      <c r="BP5" s="119"/>
      <c r="BQ5" s="119"/>
      <c r="BR5" s="119"/>
      <c r="BS5" s="119"/>
      <c r="BT5" s="119"/>
      <c r="BU5" s="119"/>
      <c r="BV5" s="119"/>
      <c r="BW5" s="119"/>
      <c r="BX5" s="119"/>
      <c r="BY5" s="119"/>
      <c r="BZ5" s="119"/>
      <c r="CA5" s="119"/>
      <c r="CB5" s="127"/>
      <c r="CC5" s="127"/>
      <c r="CD5" s="127"/>
      <c r="CE5" s="127"/>
      <c r="CF5" s="127"/>
    </row>
    <row r="6" spans="1:161" ht="23.45" customHeight="1">
      <c r="A6" s="96"/>
      <c r="C6" s="128"/>
      <c r="D6" s="128"/>
      <c r="E6" s="128"/>
      <c r="F6" s="1387" t="s">
        <v>179</v>
      </c>
      <c r="G6" s="1388"/>
      <c r="H6" s="1389"/>
      <c r="I6" s="1389"/>
      <c r="J6" s="1389"/>
      <c r="K6" s="1391" t="s">
        <v>126</v>
      </c>
      <c r="L6" s="1392"/>
      <c r="M6" s="1393"/>
      <c r="N6" s="1399" t="str">
        <f>IF('07nen'!$M$13="","",'07nen'!$M$13)</f>
        <v/>
      </c>
      <c r="O6" s="1050"/>
      <c r="P6" s="1050"/>
      <c r="Q6" s="1050"/>
      <c r="R6" s="1050"/>
      <c r="S6" s="1050"/>
      <c r="T6" s="1050"/>
      <c r="U6" s="1050"/>
      <c r="V6" s="1050"/>
      <c r="W6" s="1050"/>
      <c r="X6" s="1050"/>
      <c r="Y6" s="1050"/>
      <c r="Z6" s="1050"/>
      <c r="AA6" s="1050"/>
      <c r="AB6" s="1050"/>
      <c r="AC6" s="1050"/>
      <c r="AD6" s="1050"/>
      <c r="AE6" s="1050"/>
      <c r="AF6" s="1050"/>
      <c r="AG6" s="1050"/>
      <c r="AH6" s="1050"/>
      <c r="AI6" s="1050"/>
      <c r="AJ6" s="1050"/>
      <c r="AK6" s="1050"/>
      <c r="AL6" s="1050"/>
      <c r="AM6" s="1050"/>
      <c r="AN6" s="1050"/>
      <c r="AO6" s="1050"/>
      <c r="AP6" s="1050"/>
      <c r="AQ6" s="1050"/>
      <c r="AR6" s="1050"/>
      <c r="AS6" s="1050"/>
      <c r="AT6" s="1051"/>
      <c r="AU6" s="281" t="s">
        <v>45</v>
      </c>
      <c r="AV6" s="201"/>
      <c r="AW6" s="201"/>
      <c r="AX6" s="282"/>
      <c r="AY6" s="282"/>
      <c r="AZ6" s="282"/>
      <c r="BA6" s="282"/>
      <c r="BB6" s="282"/>
      <c r="BC6" s="282"/>
      <c r="BD6" s="1403" t="str">
        <f>IF('07nen'!$M$8="","",'07nen'!$M$8)</f>
        <v/>
      </c>
      <c r="BE6" s="1403"/>
      <c r="BF6" s="1403"/>
      <c r="BG6" s="1403"/>
      <c r="BH6" s="1403"/>
      <c r="BI6" s="1403"/>
      <c r="BJ6" s="1403"/>
      <c r="BK6" s="1403"/>
      <c r="BL6" s="1403"/>
      <c r="BM6" s="1403"/>
      <c r="BN6" s="1403"/>
      <c r="BO6" s="1403"/>
      <c r="BP6" s="1403"/>
      <c r="BQ6" s="1403"/>
      <c r="BR6" s="1403"/>
      <c r="BS6" s="1403"/>
      <c r="BT6" s="1403"/>
      <c r="BU6" s="1403"/>
      <c r="BV6" s="1403"/>
      <c r="BW6" s="1403"/>
      <c r="BX6" s="1403"/>
      <c r="BY6" s="1403"/>
      <c r="BZ6" s="1403"/>
      <c r="CA6" s="1404"/>
      <c r="CB6" s="127"/>
      <c r="CC6" s="118"/>
      <c r="CD6" s="118"/>
      <c r="CF6" s="128"/>
    </row>
    <row r="7" spans="1:161" ht="24">
      <c r="A7" s="74"/>
      <c r="B7" s="128"/>
      <c r="C7" s="128"/>
      <c r="D7" s="128"/>
      <c r="E7" s="128"/>
      <c r="F7" s="1387"/>
      <c r="G7" s="1388"/>
      <c r="H7" s="1389"/>
      <c r="I7" s="1389"/>
      <c r="J7" s="1389"/>
      <c r="K7" s="1394"/>
      <c r="L7" s="1069"/>
      <c r="M7" s="1395"/>
      <c r="N7" s="1400"/>
      <c r="O7" s="686"/>
      <c r="P7" s="686"/>
      <c r="Q7" s="686"/>
      <c r="R7" s="686"/>
      <c r="S7" s="686"/>
      <c r="T7" s="686"/>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c r="AT7" s="1053"/>
      <c r="AU7" s="1375" t="s">
        <v>211</v>
      </c>
      <c r="AV7" s="1376"/>
      <c r="AW7" s="1376"/>
      <c r="AX7" s="1376"/>
      <c r="AY7" s="1376"/>
      <c r="AZ7" s="1376"/>
      <c r="BA7" s="1376"/>
      <c r="BB7" s="1376"/>
      <c r="BC7" s="1376"/>
      <c r="BD7" s="1372" t="str">
        <f>IF('07nen'!$M$9="","",(MIDB('07nen'!$M$9+1000000000000,2,1)))</f>
        <v/>
      </c>
      <c r="BE7" s="1373"/>
      <c r="BF7" s="1372" t="str">
        <f>IF('07nen'!$M$9="","",(MIDB('07nen'!$M$9+1000000000000,3,1)))</f>
        <v/>
      </c>
      <c r="BG7" s="1373"/>
      <c r="BH7" s="1372" t="str">
        <f>IF('07nen'!$M$9="","",(MIDB('07nen'!$M$9+1000000000000,4,1)))</f>
        <v/>
      </c>
      <c r="BI7" s="1373"/>
      <c r="BJ7" s="1372" t="str">
        <f>IF('07nen'!$M$9="","",(MIDB('07nen'!$M$9+1000000000000,5,1)))</f>
        <v/>
      </c>
      <c r="BK7" s="1373"/>
      <c r="BL7" s="1374" t="str">
        <f>IF('07nen'!$M$9="","",(MIDB('07nen'!$M$9+1000000000000,6,1)))</f>
        <v/>
      </c>
      <c r="BM7" s="1377"/>
      <c r="BN7" s="1372" t="str">
        <f>IF('07nen'!$M$9="","",(MIDB('07nen'!$M$9+1000000000000,7,1)))</f>
        <v/>
      </c>
      <c r="BO7" s="1373"/>
      <c r="BP7" s="1372" t="str">
        <f>IF('07nen'!$M$9="","",(MIDB('07nen'!$M$9+1000000000000,8,1)))</f>
        <v/>
      </c>
      <c r="BQ7" s="1373"/>
      <c r="BR7" s="1372" t="str">
        <f>IF('07nen'!$M$9="","",(MIDB('07nen'!$M$9+1000000000000,9,1)))</f>
        <v/>
      </c>
      <c r="BS7" s="1373"/>
      <c r="BT7" s="1372" t="str">
        <f>IF('07nen'!$M$9="","",(MIDB('07nen'!$M$9+1000000000000,10,1)))</f>
        <v/>
      </c>
      <c r="BU7" s="1373"/>
      <c r="BV7" s="1372" t="str">
        <f>IF('07nen'!$M$9="","",(MIDB('07nen'!$M$9+1000000000000,11,1)))</f>
        <v/>
      </c>
      <c r="BW7" s="1373"/>
      <c r="BX7" s="1372" t="str">
        <f>IF('07nen'!$M$9="","",(MIDB('07nen'!$M$9+1000000000000,12,1)))</f>
        <v/>
      </c>
      <c r="BY7" s="1373"/>
      <c r="BZ7" s="1374" t="str">
        <f>IF('07nen'!$M$9="","",(MIDB('07nen'!$M$9+1000000000000,13,1)))</f>
        <v/>
      </c>
      <c r="CA7" s="1373"/>
      <c r="CB7" s="127"/>
      <c r="CC7" s="118"/>
      <c r="CD7" s="118"/>
      <c r="CE7" s="128"/>
      <c r="CF7" s="128"/>
    </row>
    <row r="8" spans="1:161" ht="24">
      <c r="A8" s="74"/>
      <c r="B8" s="128"/>
      <c r="C8" s="128"/>
      <c r="D8" s="128"/>
      <c r="E8" s="128"/>
      <c r="F8" s="1387"/>
      <c r="G8" s="1388"/>
      <c r="H8" s="1389"/>
      <c r="I8" s="1389"/>
      <c r="J8" s="1389"/>
      <c r="K8" s="1394"/>
      <c r="L8" s="1069"/>
      <c r="M8" s="1395"/>
      <c r="N8" s="1400"/>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c r="AT8" s="1053"/>
      <c r="AU8" s="1375" t="s">
        <v>47</v>
      </c>
      <c r="AV8" s="1376"/>
      <c r="AW8" s="1376"/>
      <c r="AX8" s="1376"/>
      <c r="AY8" s="1376"/>
      <c r="AZ8" s="1376"/>
      <c r="BA8" s="1376"/>
      <c r="BB8" s="1367" t="str">
        <f>IF('07nen'!$M$10="","",'07nen'!$M$10)</f>
        <v/>
      </c>
      <c r="BC8" s="1367"/>
      <c r="BD8" s="1367"/>
      <c r="BE8" s="1367"/>
      <c r="BF8" s="1367"/>
      <c r="BG8" s="1367"/>
      <c r="BH8" s="1367"/>
      <c r="BI8" s="1367"/>
      <c r="BJ8" s="1367"/>
      <c r="BK8" s="1367"/>
      <c r="BL8" s="1367"/>
      <c r="BM8" s="1367"/>
      <c r="BN8" s="1367"/>
      <c r="BO8" s="1367"/>
      <c r="BP8" s="1367"/>
      <c r="BQ8" s="1367"/>
      <c r="BR8" s="1367"/>
      <c r="BS8" s="1367"/>
      <c r="BT8" s="1367"/>
      <c r="BU8" s="1367"/>
      <c r="BV8" s="1367"/>
      <c r="BW8" s="1367"/>
      <c r="BX8" s="1367"/>
      <c r="BY8" s="1367"/>
      <c r="BZ8" s="1367"/>
      <c r="CA8" s="1368"/>
      <c r="CB8" s="127"/>
      <c r="CC8" s="118"/>
      <c r="CD8" s="118"/>
      <c r="CE8" s="128"/>
      <c r="CF8" s="128"/>
    </row>
    <row r="9" spans="1:161" ht="24">
      <c r="A9" s="74"/>
      <c r="B9" s="128"/>
      <c r="C9" s="128"/>
      <c r="D9" s="128"/>
      <c r="E9" s="128"/>
      <c r="F9" s="1390"/>
      <c r="G9" s="1389"/>
      <c r="H9" s="1389"/>
      <c r="I9" s="1389"/>
      <c r="J9" s="1389"/>
      <c r="K9" s="1394"/>
      <c r="L9" s="1069"/>
      <c r="M9" s="1395"/>
      <c r="N9" s="1400"/>
      <c r="O9" s="686"/>
      <c r="P9" s="686"/>
      <c r="Q9" s="686"/>
      <c r="R9" s="686"/>
      <c r="S9" s="686"/>
      <c r="T9" s="686"/>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c r="AT9" s="1053"/>
      <c r="AU9" s="1369" t="s">
        <v>210</v>
      </c>
      <c r="AV9" s="1370"/>
      <c r="AW9" s="1371"/>
      <c r="AX9" s="1382" t="s">
        <v>46</v>
      </c>
      <c r="AY9" s="1382"/>
      <c r="AZ9" s="1382"/>
      <c r="BA9" s="1382"/>
      <c r="BB9" s="1383" t="str">
        <f>IF('07nen'!$M$11="","",'07nen'!$M$11)</f>
        <v/>
      </c>
      <c r="BC9" s="1383"/>
      <c r="BD9" s="1383"/>
      <c r="BE9" s="1383"/>
      <c r="BF9" s="1383"/>
      <c r="BG9" s="1383"/>
      <c r="BH9" s="1383"/>
      <c r="BI9" s="1383"/>
      <c r="BJ9" s="1383"/>
      <c r="BK9" s="1383"/>
      <c r="BL9" s="1383"/>
      <c r="BM9" s="1383"/>
      <c r="BN9" s="201"/>
      <c r="BO9" s="201"/>
      <c r="BP9" s="1383" t="str">
        <f>IF('07nen'!$N$11="","",'07nen'!$N$11)</f>
        <v/>
      </c>
      <c r="BQ9" s="1383"/>
      <c r="BR9" s="1383"/>
      <c r="BS9" s="1383"/>
      <c r="BT9" s="1383"/>
      <c r="BU9" s="1383"/>
      <c r="BV9" s="1383"/>
      <c r="BW9" s="1383"/>
      <c r="BX9" s="1383"/>
      <c r="BY9" s="1383"/>
      <c r="BZ9" s="1383"/>
      <c r="CA9" s="1384"/>
      <c r="CB9" s="127"/>
      <c r="CC9" s="118"/>
      <c r="CD9" s="118"/>
      <c r="CE9" s="128"/>
      <c r="CF9" s="128"/>
    </row>
    <row r="10" spans="1:161" ht="42">
      <c r="A10" s="75"/>
      <c r="B10" s="128"/>
      <c r="C10" s="128"/>
      <c r="D10" s="128"/>
      <c r="E10" s="128"/>
      <c r="F10" s="1390"/>
      <c r="G10" s="1389"/>
      <c r="H10" s="1389"/>
      <c r="I10" s="1389"/>
      <c r="J10" s="1389"/>
      <c r="K10" s="1396"/>
      <c r="L10" s="1397"/>
      <c r="M10" s="1398"/>
      <c r="N10" s="1401"/>
      <c r="O10" s="1055"/>
      <c r="P10" s="1055"/>
      <c r="Q10" s="1055"/>
      <c r="R10" s="1055"/>
      <c r="S10" s="1055"/>
      <c r="T10" s="1055"/>
      <c r="U10" s="1055"/>
      <c r="V10" s="1055"/>
      <c r="W10" s="1055"/>
      <c r="X10" s="1055"/>
      <c r="Y10" s="1055"/>
      <c r="Z10" s="1055"/>
      <c r="AA10" s="1055"/>
      <c r="AB10" s="1055"/>
      <c r="AC10" s="1055"/>
      <c r="AD10" s="1055"/>
      <c r="AE10" s="1055"/>
      <c r="AF10" s="1055"/>
      <c r="AG10" s="1055"/>
      <c r="AH10" s="1055"/>
      <c r="AI10" s="1055"/>
      <c r="AJ10" s="1055"/>
      <c r="AK10" s="1055"/>
      <c r="AL10" s="1055"/>
      <c r="AM10" s="1055"/>
      <c r="AN10" s="1055"/>
      <c r="AO10" s="1055"/>
      <c r="AP10" s="1055"/>
      <c r="AQ10" s="1055"/>
      <c r="AR10" s="1055"/>
      <c r="AS10" s="1055"/>
      <c r="AT10" s="1402"/>
      <c r="AU10" s="1369"/>
      <c r="AV10" s="1370"/>
      <c r="AW10" s="1371"/>
      <c r="AX10" s="201"/>
      <c r="AY10" s="201"/>
      <c r="AZ10" s="202"/>
      <c r="BA10" s="201"/>
      <c r="BB10" s="1385" t="str">
        <f>IF('07nen'!$M$12="","",'07nen'!$M$12)</f>
        <v/>
      </c>
      <c r="BC10" s="1385"/>
      <c r="BD10" s="1385"/>
      <c r="BE10" s="1385"/>
      <c r="BF10" s="1385"/>
      <c r="BG10" s="1385"/>
      <c r="BH10" s="1385"/>
      <c r="BI10" s="1385"/>
      <c r="BJ10" s="1385"/>
      <c r="BK10" s="1385"/>
      <c r="BL10" s="1385"/>
      <c r="BM10" s="1385"/>
      <c r="BN10" s="201"/>
      <c r="BO10" s="201"/>
      <c r="BP10" s="1385" t="str">
        <f>IF('07nen'!$N$12="","",'07nen'!$N$12)</f>
        <v/>
      </c>
      <c r="BQ10" s="1385"/>
      <c r="BR10" s="1385"/>
      <c r="BS10" s="1385"/>
      <c r="BT10" s="1385"/>
      <c r="BU10" s="1385"/>
      <c r="BV10" s="1385"/>
      <c r="BW10" s="1385"/>
      <c r="BX10" s="1385"/>
      <c r="BY10" s="1385"/>
      <c r="BZ10" s="1385"/>
      <c r="CA10" s="1386"/>
      <c r="CB10" s="127"/>
      <c r="CC10" s="120"/>
      <c r="CD10" s="120"/>
      <c r="CE10" s="128"/>
      <c r="CF10" s="128"/>
    </row>
    <row r="11" spans="1:161" s="99" customFormat="1" ht="30.6" customHeight="1">
      <c r="A11" s="102"/>
      <c r="B11" s="128"/>
      <c r="C11" s="128"/>
      <c r="D11" s="128"/>
      <c r="E11" s="128"/>
      <c r="F11" s="1381" t="s">
        <v>48</v>
      </c>
      <c r="G11" s="1381"/>
      <c r="H11" s="1381"/>
      <c r="I11" s="1381"/>
      <c r="J11" s="1381"/>
      <c r="K11" s="1381"/>
      <c r="L11" s="1381"/>
      <c r="M11" s="1381"/>
      <c r="N11" s="1381"/>
      <c r="O11" s="1381"/>
      <c r="P11" s="1381"/>
      <c r="Q11" s="1381"/>
      <c r="R11" s="1381"/>
      <c r="S11" s="1381"/>
      <c r="T11" s="1381" t="s">
        <v>49</v>
      </c>
      <c r="U11" s="1381"/>
      <c r="V11" s="1381"/>
      <c r="W11" s="1381"/>
      <c r="X11" s="1381"/>
      <c r="Y11" s="1381"/>
      <c r="Z11" s="1381"/>
      <c r="AA11" s="1381"/>
      <c r="AB11" s="1381"/>
      <c r="AC11" s="1381"/>
      <c r="AD11" s="1381"/>
      <c r="AE11" s="1381"/>
      <c r="AF11" s="1381"/>
      <c r="AG11" s="1381"/>
      <c r="AH11" s="1381"/>
      <c r="AI11" s="1378" t="s">
        <v>351</v>
      </c>
      <c r="AJ11" s="1379"/>
      <c r="AK11" s="1379"/>
      <c r="AL11" s="1379"/>
      <c r="AM11" s="1379"/>
      <c r="AN11" s="1379"/>
      <c r="AO11" s="1379"/>
      <c r="AP11" s="1379"/>
      <c r="AQ11" s="1379"/>
      <c r="AR11" s="1379"/>
      <c r="AS11" s="1379"/>
      <c r="AT11" s="1379"/>
      <c r="AU11" s="1379"/>
      <c r="AV11" s="1379"/>
      <c r="AW11" s="1379"/>
      <c r="AX11" s="1380" t="s">
        <v>209</v>
      </c>
      <c r="AY11" s="1380"/>
      <c r="AZ11" s="1380"/>
      <c r="BA11" s="1380"/>
      <c r="BB11" s="1380"/>
      <c r="BC11" s="1380"/>
      <c r="BD11" s="1380"/>
      <c r="BE11" s="1380"/>
      <c r="BF11" s="1380"/>
      <c r="BG11" s="1380"/>
      <c r="BH11" s="1380"/>
      <c r="BI11" s="1380"/>
      <c r="BJ11" s="1380"/>
      <c r="BK11" s="1380"/>
      <c r="BL11" s="1380"/>
      <c r="BM11" s="1381" t="s">
        <v>212</v>
      </c>
      <c r="BN11" s="1381"/>
      <c r="BO11" s="1381"/>
      <c r="BP11" s="1381"/>
      <c r="BQ11" s="1381"/>
      <c r="BR11" s="1381"/>
      <c r="BS11" s="1381"/>
      <c r="BT11" s="1381"/>
      <c r="BU11" s="1381"/>
      <c r="BV11" s="1381"/>
      <c r="BW11" s="1381"/>
      <c r="BX11" s="1381"/>
      <c r="BY11" s="1381"/>
      <c r="BZ11" s="1381"/>
      <c r="CA11" s="1381"/>
      <c r="CB11" s="127"/>
      <c r="CC11" s="117"/>
      <c r="CD11" s="117"/>
      <c r="CE11" s="128"/>
      <c r="CF11" s="128"/>
    </row>
    <row r="12" spans="1:161" ht="24">
      <c r="A12" s="98"/>
      <c r="B12" s="128"/>
      <c r="C12" s="128"/>
      <c r="D12" s="128"/>
      <c r="E12" s="128"/>
      <c r="F12" s="1408" t="str">
        <f>+'07源泉'!F12:S13</f>
        <v>給料・賞与</v>
      </c>
      <c r="G12" s="1408"/>
      <c r="H12" s="1408"/>
      <c r="I12" s="1408"/>
      <c r="J12" s="1408"/>
      <c r="K12" s="1408"/>
      <c r="L12" s="1408"/>
      <c r="M12" s="1408"/>
      <c r="N12" s="1408"/>
      <c r="O12" s="1408"/>
      <c r="P12" s="1408"/>
      <c r="Q12" s="1408"/>
      <c r="R12" s="1408"/>
      <c r="S12" s="1408"/>
      <c r="T12" s="1409" t="s">
        <v>141</v>
      </c>
      <c r="U12" s="1085"/>
      <c r="V12" s="1086" t="str">
        <f>IF('07nen'!$W$30="","",'07nen'!$W$30)</f>
        <v/>
      </c>
      <c r="W12" s="1086"/>
      <c r="X12" s="1086"/>
      <c r="Y12" s="1086"/>
      <c r="Z12" s="1086"/>
      <c r="AA12" s="1086"/>
      <c r="AB12" s="1086"/>
      <c r="AC12" s="1086"/>
      <c r="AD12" s="1086"/>
      <c r="AE12" s="1086"/>
      <c r="AF12" s="1086"/>
      <c r="AG12" s="1072" t="s">
        <v>140</v>
      </c>
      <c r="AH12" s="1073"/>
      <c r="AI12" s="1407" t="s">
        <v>260</v>
      </c>
      <c r="AJ12" s="1072"/>
      <c r="AK12" s="1072"/>
      <c r="AL12" s="1072"/>
      <c r="AM12" s="1072"/>
      <c r="AN12" s="1072"/>
      <c r="AO12" s="1072"/>
      <c r="AP12" s="1072"/>
      <c r="AQ12" s="1072"/>
      <c r="AR12" s="1072"/>
      <c r="AS12" s="1072"/>
      <c r="AT12" s="1072"/>
      <c r="AU12" s="1072"/>
      <c r="AV12" s="1072"/>
      <c r="AW12" s="1072"/>
      <c r="AX12" s="1407" t="s">
        <v>50</v>
      </c>
      <c r="AY12" s="1072"/>
      <c r="AZ12" s="1072"/>
      <c r="BA12" s="1072"/>
      <c r="BB12" s="1072"/>
      <c r="BC12" s="1072"/>
      <c r="BD12" s="1072"/>
      <c r="BE12" s="1072"/>
      <c r="BF12" s="1072"/>
      <c r="BG12" s="1072"/>
      <c r="BH12" s="1072"/>
      <c r="BI12" s="1072"/>
      <c r="BJ12" s="1072"/>
      <c r="BK12" s="1072"/>
      <c r="BL12" s="1073"/>
      <c r="BM12" s="203" t="s">
        <v>51</v>
      </c>
      <c r="BN12" s="203"/>
      <c r="BO12" s="1074" t="str">
        <f>IF('07nen'!$Y$30="","",'07nen'!$Y$30)</f>
        <v/>
      </c>
      <c r="BP12" s="1074"/>
      <c r="BQ12" s="1074"/>
      <c r="BR12" s="1074"/>
      <c r="BS12" s="1074"/>
      <c r="BT12" s="1074"/>
      <c r="BU12" s="1074"/>
      <c r="BV12" s="1074"/>
      <c r="BW12" s="1074"/>
      <c r="BX12" s="1074"/>
      <c r="BY12" s="1074"/>
      <c r="BZ12" s="1072" t="s">
        <v>50</v>
      </c>
      <c r="CA12" s="1073"/>
      <c r="CB12" s="127"/>
      <c r="CC12" s="306"/>
      <c r="CD12" s="306"/>
      <c r="CE12" s="128"/>
      <c r="CF12" s="128"/>
    </row>
    <row r="13" spans="1:161" ht="30.75">
      <c r="A13" s="102"/>
      <c r="B13" s="128"/>
      <c r="C13" s="128"/>
      <c r="D13" s="128"/>
      <c r="E13" s="128"/>
      <c r="F13" s="1408"/>
      <c r="G13" s="1408"/>
      <c r="H13" s="1408"/>
      <c r="I13" s="1408"/>
      <c r="J13" s="1408"/>
      <c r="K13" s="1408"/>
      <c r="L13" s="1408"/>
      <c r="M13" s="1408"/>
      <c r="N13" s="1408"/>
      <c r="O13" s="1408"/>
      <c r="P13" s="1408"/>
      <c r="Q13" s="1408"/>
      <c r="R13" s="1408"/>
      <c r="S13" s="1408"/>
      <c r="T13" s="1405">
        <f>IF('07nen'!$X$33="","",'07nen'!$X$33)</f>
        <v>0</v>
      </c>
      <c r="U13" s="1076"/>
      <c r="V13" s="1076"/>
      <c r="W13" s="1076"/>
      <c r="X13" s="1076"/>
      <c r="Y13" s="1076"/>
      <c r="Z13" s="1076"/>
      <c r="AA13" s="1076"/>
      <c r="AB13" s="1076"/>
      <c r="AC13" s="1076"/>
      <c r="AD13" s="1076"/>
      <c r="AE13" s="1076"/>
      <c r="AF13" s="1076"/>
      <c r="AG13" s="1076"/>
      <c r="AH13" s="1406"/>
      <c r="AI13" s="1405">
        <f>IF('07nen'!$O$8="甲欄",IF('07nen'!$X$36="","",'07nen'!$X$36),"")</f>
        <v>0</v>
      </c>
      <c r="AJ13" s="1076"/>
      <c r="AK13" s="1076"/>
      <c r="AL13" s="1076"/>
      <c r="AM13" s="1076"/>
      <c r="AN13" s="1076"/>
      <c r="AO13" s="1076"/>
      <c r="AP13" s="1076"/>
      <c r="AQ13" s="1076"/>
      <c r="AR13" s="1076"/>
      <c r="AS13" s="1076"/>
      <c r="AT13" s="1076"/>
      <c r="AU13" s="1076"/>
      <c r="AV13" s="1076"/>
      <c r="AW13" s="1076"/>
      <c r="AX13" s="1405">
        <f>IF('07nen'!$O$8="甲欄",IF('07nen'!$X$47="","",'07nen'!$X$47),"")</f>
        <v>950000</v>
      </c>
      <c r="AY13" s="1076"/>
      <c r="AZ13" s="1076"/>
      <c r="BA13" s="1076"/>
      <c r="BB13" s="1076"/>
      <c r="BC13" s="1076"/>
      <c r="BD13" s="1076"/>
      <c r="BE13" s="1076"/>
      <c r="BF13" s="1076"/>
      <c r="BG13" s="1076"/>
      <c r="BH13" s="1076"/>
      <c r="BI13" s="1076"/>
      <c r="BJ13" s="1076"/>
      <c r="BK13" s="1076"/>
      <c r="BL13" s="1406"/>
      <c r="BM13" s="1076">
        <f>IF('07nen'!$Y$51="","",'07nen'!$Y$51)</f>
        <v>0</v>
      </c>
      <c r="BN13" s="1076"/>
      <c r="BO13" s="1076"/>
      <c r="BP13" s="1076"/>
      <c r="BQ13" s="1076"/>
      <c r="BR13" s="1076"/>
      <c r="BS13" s="1076"/>
      <c r="BT13" s="1076"/>
      <c r="BU13" s="1076"/>
      <c r="BV13" s="1076"/>
      <c r="BW13" s="1076"/>
      <c r="BX13" s="1076"/>
      <c r="BY13" s="1076"/>
      <c r="BZ13" s="1076"/>
      <c r="CA13" s="1406"/>
      <c r="CB13" s="127"/>
      <c r="CC13" s="117"/>
      <c r="CD13" s="117"/>
      <c r="CE13" s="128"/>
      <c r="CF13" s="128"/>
    </row>
    <row r="14" spans="1:161" s="99" customFormat="1" ht="16.149999999999999" customHeight="1">
      <c r="A14" s="77"/>
      <c r="B14" s="245"/>
      <c r="C14" s="128"/>
      <c r="D14" s="128"/>
      <c r="E14" s="128"/>
      <c r="F14" s="745" t="s">
        <v>356</v>
      </c>
      <c r="G14" s="746"/>
      <c r="H14" s="746"/>
      <c r="I14" s="746"/>
      <c r="J14" s="746"/>
      <c r="K14" s="746"/>
      <c r="L14" s="746"/>
      <c r="M14" s="746"/>
      <c r="N14" s="746"/>
      <c r="O14" s="746"/>
      <c r="P14" s="746"/>
      <c r="Q14" s="746"/>
      <c r="R14" s="747"/>
      <c r="S14" s="751" t="s">
        <v>298</v>
      </c>
      <c r="T14" s="751"/>
      <c r="U14" s="751"/>
      <c r="V14" s="751"/>
      <c r="W14" s="751"/>
      <c r="X14" s="751"/>
      <c r="Y14" s="751"/>
      <c r="Z14" s="751"/>
      <c r="AA14" s="751"/>
      <c r="AB14" s="751"/>
      <c r="AC14" s="751"/>
      <c r="AD14" s="751"/>
      <c r="AE14" s="751"/>
      <c r="AF14" s="655" t="s">
        <v>163</v>
      </c>
      <c r="AG14" s="656"/>
      <c r="AH14" s="656"/>
      <c r="AI14" s="656"/>
      <c r="AJ14" s="656"/>
      <c r="AK14" s="656"/>
      <c r="AL14" s="656"/>
      <c r="AM14" s="656"/>
      <c r="AN14" s="656"/>
      <c r="AO14" s="656"/>
      <c r="AP14" s="656"/>
      <c r="AQ14" s="656"/>
      <c r="AR14" s="656"/>
      <c r="AS14" s="656"/>
      <c r="AT14" s="656"/>
      <c r="AU14" s="656"/>
      <c r="AV14" s="656"/>
      <c r="AW14" s="656"/>
      <c r="AX14" s="656"/>
      <c r="AY14" s="656"/>
      <c r="AZ14" s="656"/>
      <c r="BA14" s="656"/>
      <c r="BB14" s="656"/>
      <c r="BC14" s="656"/>
      <c r="BD14" s="656"/>
      <c r="BE14" s="656"/>
      <c r="BF14" s="657"/>
      <c r="BG14" s="752" t="s">
        <v>204</v>
      </c>
      <c r="BH14" s="753"/>
      <c r="BI14" s="753"/>
      <c r="BJ14" s="754"/>
      <c r="BK14" s="725" t="s">
        <v>52</v>
      </c>
      <c r="BL14" s="726"/>
      <c r="BM14" s="643"/>
      <c r="BN14" s="643"/>
      <c r="BO14" s="643"/>
      <c r="BP14" s="643"/>
      <c r="BQ14" s="643"/>
      <c r="BR14" s="643"/>
      <c r="BS14" s="643"/>
      <c r="BT14" s="643"/>
      <c r="BU14" s="643"/>
      <c r="BV14" s="643"/>
      <c r="BW14" s="711" t="s">
        <v>354</v>
      </c>
      <c r="BX14" s="712"/>
      <c r="BY14" s="712"/>
      <c r="BZ14" s="712"/>
      <c r="CA14" s="713"/>
      <c r="CB14" s="127"/>
      <c r="CC14" s="117"/>
      <c r="CD14" s="117"/>
      <c r="CE14" s="245"/>
      <c r="CF14" s="128"/>
    </row>
    <row r="15" spans="1:161" s="195" customFormat="1" ht="12" customHeight="1">
      <c r="A15" s="243"/>
      <c r="B15" s="246"/>
      <c r="C15" s="246"/>
      <c r="D15" s="246"/>
      <c r="E15" s="246"/>
      <c r="F15" s="748"/>
      <c r="G15" s="749"/>
      <c r="H15" s="749"/>
      <c r="I15" s="749"/>
      <c r="J15" s="749"/>
      <c r="K15" s="749"/>
      <c r="L15" s="749"/>
      <c r="M15" s="749"/>
      <c r="N15" s="749"/>
      <c r="O15" s="749"/>
      <c r="P15" s="749"/>
      <c r="Q15" s="749"/>
      <c r="R15" s="750"/>
      <c r="S15" s="751"/>
      <c r="T15" s="751"/>
      <c r="U15" s="751"/>
      <c r="V15" s="751"/>
      <c r="W15" s="751"/>
      <c r="X15" s="751"/>
      <c r="Y15" s="751"/>
      <c r="Z15" s="751"/>
      <c r="AA15" s="751"/>
      <c r="AB15" s="751"/>
      <c r="AC15" s="751"/>
      <c r="AD15" s="751"/>
      <c r="AE15" s="751"/>
      <c r="AF15" s="649" t="s">
        <v>201</v>
      </c>
      <c r="AG15" s="650"/>
      <c r="AH15" s="650"/>
      <c r="AI15" s="650"/>
      <c r="AJ15" s="650"/>
      <c r="AK15" s="650"/>
      <c r="AL15" s="650"/>
      <c r="AM15" s="650"/>
      <c r="AN15" s="650"/>
      <c r="AO15" s="650"/>
      <c r="AP15" s="650"/>
      <c r="AQ15" s="650"/>
      <c r="AR15" s="650"/>
      <c r="AS15" s="650"/>
      <c r="AT15" s="650"/>
      <c r="AU15" s="650"/>
      <c r="AV15" s="650"/>
      <c r="AW15" s="650"/>
      <c r="AX15" s="650"/>
      <c r="AY15" s="650"/>
      <c r="AZ15" s="650"/>
      <c r="BA15" s="650"/>
      <c r="BB15" s="650"/>
      <c r="BC15" s="650"/>
      <c r="BD15" s="650"/>
      <c r="BE15" s="650"/>
      <c r="BF15" s="651"/>
      <c r="BG15" s="755"/>
      <c r="BH15" s="753"/>
      <c r="BI15" s="753"/>
      <c r="BJ15" s="754"/>
      <c r="BK15" s="721" t="s">
        <v>202</v>
      </c>
      <c r="BL15" s="722"/>
      <c r="BM15" s="722"/>
      <c r="BN15" s="722"/>
      <c r="BO15" s="722"/>
      <c r="BP15" s="722"/>
      <c r="BQ15" s="722"/>
      <c r="BR15" s="722"/>
      <c r="BS15" s="722"/>
      <c r="BT15" s="722"/>
      <c r="BU15" s="722"/>
      <c r="BV15" s="722"/>
      <c r="BW15" s="714"/>
      <c r="BX15" s="715"/>
      <c r="BY15" s="715"/>
      <c r="BZ15" s="715"/>
      <c r="CA15" s="716"/>
      <c r="CB15" s="250"/>
      <c r="CC15" s="197"/>
      <c r="CD15" s="197"/>
      <c r="CE15" s="246"/>
      <c r="CF15" s="246"/>
    </row>
    <row r="16" spans="1:161" s="195" customFormat="1" ht="12" customHeight="1">
      <c r="A16" s="243"/>
      <c r="B16" s="246"/>
      <c r="C16" s="246"/>
      <c r="D16" s="246"/>
      <c r="E16" s="246"/>
      <c r="F16" s="727" t="s">
        <v>377</v>
      </c>
      <c r="G16" s="728"/>
      <c r="H16" s="728"/>
      <c r="I16" s="728"/>
      <c r="J16" s="728"/>
      <c r="K16" s="728"/>
      <c r="L16" s="728"/>
      <c r="M16" s="728"/>
      <c r="N16" s="728"/>
      <c r="O16" s="730"/>
      <c r="P16" s="730"/>
      <c r="Q16" s="730"/>
      <c r="R16" s="731"/>
      <c r="S16" s="751"/>
      <c r="T16" s="751"/>
      <c r="U16" s="751"/>
      <c r="V16" s="751"/>
      <c r="W16" s="751"/>
      <c r="X16" s="751"/>
      <c r="Y16" s="751"/>
      <c r="Z16" s="751"/>
      <c r="AA16" s="751"/>
      <c r="AB16" s="751"/>
      <c r="AC16" s="751"/>
      <c r="AD16" s="751"/>
      <c r="AE16" s="751"/>
      <c r="AF16" s="652"/>
      <c r="AG16" s="653"/>
      <c r="AH16" s="653"/>
      <c r="AI16" s="653"/>
      <c r="AJ16" s="653"/>
      <c r="AK16" s="653"/>
      <c r="AL16" s="653"/>
      <c r="AM16" s="653"/>
      <c r="AN16" s="653"/>
      <c r="AO16" s="653"/>
      <c r="AP16" s="653"/>
      <c r="AQ16" s="653"/>
      <c r="AR16" s="653"/>
      <c r="AS16" s="653"/>
      <c r="AT16" s="653"/>
      <c r="AU16" s="653"/>
      <c r="AV16" s="653"/>
      <c r="AW16" s="653"/>
      <c r="AX16" s="653"/>
      <c r="AY16" s="653"/>
      <c r="AZ16" s="653"/>
      <c r="BA16" s="653"/>
      <c r="BB16" s="653"/>
      <c r="BC16" s="653"/>
      <c r="BD16" s="653"/>
      <c r="BE16" s="653"/>
      <c r="BF16" s="654"/>
      <c r="BG16" s="755"/>
      <c r="BH16" s="753"/>
      <c r="BI16" s="753"/>
      <c r="BJ16" s="754"/>
      <c r="BK16" s="723"/>
      <c r="BL16" s="724"/>
      <c r="BM16" s="724"/>
      <c r="BN16" s="724"/>
      <c r="BO16" s="724"/>
      <c r="BP16" s="724"/>
      <c r="BQ16" s="724"/>
      <c r="BR16" s="724"/>
      <c r="BS16" s="724"/>
      <c r="BT16" s="724"/>
      <c r="BU16" s="724"/>
      <c r="BV16" s="724"/>
      <c r="BW16" s="714"/>
      <c r="BX16" s="715"/>
      <c r="BY16" s="715"/>
      <c r="BZ16" s="715"/>
      <c r="CA16" s="716"/>
      <c r="CB16" s="250"/>
      <c r="CC16" s="197"/>
      <c r="CD16" s="197"/>
      <c r="CE16" s="246"/>
      <c r="CF16" s="246"/>
    </row>
    <row r="17" spans="1:84" s="99" customFormat="1" ht="16.899999999999999" customHeight="1">
      <c r="A17" s="77"/>
      <c r="B17" s="245"/>
      <c r="C17" s="128"/>
      <c r="D17" s="128"/>
      <c r="E17" s="128"/>
      <c r="F17" s="727"/>
      <c r="G17" s="728"/>
      <c r="H17" s="728"/>
      <c r="I17" s="728"/>
      <c r="J17" s="728"/>
      <c r="K17" s="729"/>
      <c r="L17" s="729"/>
      <c r="M17" s="729"/>
      <c r="N17" s="729"/>
      <c r="O17" s="732" t="s">
        <v>274</v>
      </c>
      <c r="P17" s="733"/>
      <c r="Q17" s="733"/>
      <c r="R17" s="734"/>
      <c r="S17" s="751"/>
      <c r="T17" s="751"/>
      <c r="U17" s="751"/>
      <c r="V17" s="751"/>
      <c r="W17" s="751"/>
      <c r="X17" s="751"/>
      <c r="Y17" s="751"/>
      <c r="Z17" s="751"/>
      <c r="AA17" s="751"/>
      <c r="AB17" s="751"/>
      <c r="AC17" s="751"/>
      <c r="AD17" s="751"/>
      <c r="AE17" s="751"/>
      <c r="AF17" s="642" t="s">
        <v>142</v>
      </c>
      <c r="AG17" s="1089"/>
      <c r="AH17" s="1089"/>
      <c r="AI17" s="1089"/>
      <c r="AJ17" s="1089"/>
      <c r="AK17" s="1089"/>
      <c r="AL17" s="642" t="s">
        <v>53</v>
      </c>
      <c r="AM17" s="1089"/>
      <c r="AN17" s="1089"/>
      <c r="AO17" s="1089"/>
      <c r="AP17" s="1089"/>
      <c r="AQ17" s="1089"/>
      <c r="AR17" s="1089"/>
      <c r="AS17" s="1089"/>
      <c r="AT17" s="720"/>
      <c r="AU17" s="642" t="s">
        <v>54</v>
      </c>
      <c r="AV17" s="1089"/>
      <c r="AW17" s="1089"/>
      <c r="AX17" s="1089"/>
      <c r="AY17" s="1089"/>
      <c r="AZ17" s="1089"/>
      <c r="BA17" s="642" t="s">
        <v>433</v>
      </c>
      <c r="BB17" s="1089"/>
      <c r="BC17" s="1089"/>
      <c r="BD17" s="1089"/>
      <c r="BE17" s="1089"/>
      <c r="BF17" s="1089"/>
      <c r="BG17" s="1088"/>
      <c r="BH17" s="753"/>
      <c r="BI17" s="753"/>
      <c r="BJ17" s="754"/>
      <c r="BK17" s="642" t="s">
        <v>143</v>
      </c>
      <c r="BL17" s="1089"/>
      <c r="BM17" s="1089"/>
      <c r="BN17" s="1089"/>
      <c r="BO17" s="1089"/>
      <c r="BP17" s="1089"/>
      <c r="BQ17" s="1089"/>
      <c r="BR17" s="720"/>
      <c r="BS17" s="1090" t="s">
        <v>54</v>
      </c>
      <c r="BT17" s="1091"/>
      <c r="BU17" s="1091"/>
      <c r="BV17" s="1091"/>
      <c r="BW17" s="1087"/>
      <c r="BX17" s="715"/>
      <c r="BY17" s="715"/>
      <c r="BZ17" s="715"/>
      <c r="CA17" s="716"/>
      <c r="CB17" s="127"/>
      <c r="CC17" s="117"/>
      <c r="CD17" s="117"/>
      <c r="CE17" s="245"/>
      <c r="CF17" s="128"/>
    </row>
    <row r="18" spans="1:84" ht="16.149999999999999" customHeight="1">
      <c r="A18" s="77"/>
      <c r="B18" s="128"/>
      <c r="C18" s="128"/>
      <c r="D18" s="128"/>
      <c r="E18" s="128"/>
      <c r="F18" s="1092" t="s">
        <v>259</v>
      </c>
      <c r="G18" s="1093"/>
      <c r="H18" s="1093"/>
      <c r="I18" s="1093"/>
      <c r="J18" s="989"/>
      <c r="K18" s="789" t="s">
        <v>357</v>
      </c>
      <c r="L18" s="789"/>
      <c r="M18" s="789"/>
      <c r="N18" s="789"/>
      <c r="O18" s="1099"/>
      <c r="P18" s="1100"/>
      <c r="Q18" s="1100"/>
      <c r="R18" s="1101"/>
      <c r="S18" s="595" t="s">
        <v>260</v>
      </c>
      <c r="T18" s="1094"/>
      <c r="U18" s="1094"/>
      <c r="V18" s="1094"/>
      <c r="W18" s="1094"/>
      <c r="X18" s="1094"/>
      <c r="Y18" s="1094"/>
      <c r="Z18" s="1094"/>
      <c r="AA18" s="1094"/>
      <c r="AB18" s="1094"/>
      <c r="AC18" s="1094"/>
      <c r="AD18" s="1094"/>
      <c r="AE18" s="1094"/>
      <c r="AF18" s="595" t="s">
        <v>144</v>
      </c>
      <c r="AG18" s="1094"/>
      <c r="AH18" s="597"/>
      <c r="AI18" s="644" t="s">
        <v>55</v>
      </c>
      <c r="AJ18" s="1095"/>
      <c r="AK18" s="646"/>
      <c r="AL18" s="1096" t="s">
        <v>261</v>
      </c>
      <c r="AM18" s="1097"/>
      <c r="AN18" s="1097"/>
      <c r="AO18" s="1097" t="s">
        <v>144</v>
      </c>
      <c r="AP18" s="1097"/>
      <c r="AQ18" s="1098"/>
      <c r="AR18" s="644" t="s">
        <v>55</v>
      </c>
      <c r="AS18" s="1095"/>
      <c r="AT18" s="646"/>
      <c r="AU18" s="595" t="s">
        <v>144</v>
      </c>
      <c r="AV18" s="1094"/>
      <c r="AW18" s="597"/>
      <c r="AX18" s="1095" t="s">
        <v>55</v>
      </c>
      <c r="AY18" s="1095"/>
      <c r="AZ18" s="1095"/>
      <c r="BA18" s="595" t="s">
        <v>144</v>
      </c>
      <c r="BB18" s="1094"/>
      <c r="BC18" s="1094"/>
      <c r="BD18" s="644" t="s">
        <v>55</v>
      </c>
      <c r="BE18" s="1095"/>
      <c r="BF18" s="646"/>
      <c r="BG18" s="1102" t="s">
        <v>162</v>
      </c>
      <c r="BH18" s="1103"/>
      <c r="BI18" s="1103"/>
      <c r="BJ18" s="602"/>
      <c r="BK18" s="1094" t="s">
        <v>261</v>
      </c>
      <c r="BL18" s="1094"/>
      <c r="BM18" s="1094"/>
      <c r="BN18" s="1094"/>
      <c r="BO18" s="1098" t="s">
        <v>144</v>
      </c>
      <c r="BP18" s="1094"/>
      <c r="BQ18" s="1094"/>
      <c r="BR18" s="597"/>
      <c r="BS18" s="595" t="s">
        <v>144</v>
      </c>
      <c r="BT18" s="1094"/>
      <c r="BU18" s="1094"/>
      <c r="BV18" s="1094"/>
      <c r="BW18" s="595" t="s">
        <v>144</v>
      </c>
      <c r="BX18" s="1094"/>
      <c r="BY18" s="1094"/>
      <c r="BZ18" s="1094"/>
      <c r="CA18" s="597"/>
      <c r="CB18" s="127"/>
      <c r="CC18" s="305"/>
      <c r="CD18" s="305"/>
      <c r="CE18" s="128"/>
      <c r="CF18" s="128"/>
    </row>
    <row r="19" spans="1:84" ht="16.149999999999999" customHeight="1">
      <c r="A19" s="77"/>
      <c r="B19" s="128"/>
      <c r="C19" s="128"/>
      <c r="D19" s="128"/>
      <c r="E19" s="128"/>
      <c r="F19" s="1104" t="str">
        <f>IF('07nen'!$Q$16="","",IF('07nen'!$K$33&gt;10000000,"",IF('07nen'!$Q$16="源泉",IF('07nen'!$O$8="年調対象外","○",""),IF('07nen'!$Q$16="対象","○",""))))</f>
        <v/>
      </c>
      <c r="G19" s="1104"/>
      <c r="H19" s="1104"/>
      <c r="I19" s="1104"/>
      <c r="J19" s="1104"/>
      <c r="K19" s="772" t="str">
        <f>IF('07nen'!$I$51="－","",'07nen'!$I$51)</f>
        <v/>
      </c>
      <c r="L19" s="773"/>
      <c r="M19" s="773"/>
      <c r="N19" s="774"/>
      <c r="O19" s="580" t="str">
        <f>IF('07nen'!$K$16="老","○","")</f>
        <v/>
      </c>
      <c r="P19" s="581"/>
      <c r="Q19" s="581"/>
      <c r="R19" s="621"/>
      <c r="S19" s="1105" t="str">
        <f>IF('07nen'!$O$8="甲欄",IF('07nen'!$J$16="","",IF('07nen'!$X$42=0,"",'07nen'!$X$42)),"")</f>
        <v/>
      </c>
      <c r="T19" s="778"/>
      <c r="U19" s="778"/>
      <c r="V19" s="778"/>
      <c r="W19" s="778"/>
      <c r="X19" s="778"/>
      <c r="Y19" s="778"/>
      <c r="Z19" s="778"/>
      <c r="AA19" s="778"/>
      <c r="AB19" s="778"/>
      <c r="AC19" s="778"/>
      <c r="AD19" s="778"/>
      <c r="AE19" s="778"/>
      <c r="AF19" s="580" t="str">
        <f>IF('07nen'!$AC$19=0,"",'07nen'!$AC$19)</f>
        <v/>
      </c>
      <c r="AG19" s="581"/>
      <c r="AH19" s="621"/>
      <c r="AI19" s="609" t="str">
        <f>IF('07nen'!$I$52="－","",'07nen'!$I$52)</f>
        <v/>
      </c>
      <c r="AJ19" s="610"/>
      <c r="AK19" s="611"/>
      <c r="AL19" s="603" t="str">
        <f>IF('07nen'!$AC$18=0,"",'07nen'!$AC$18)</f>
        <v/>
      </c>
      <c r="AM19" s="604"/>
      <c r="AN19" s="604"/>
      <c r="AO19" s="604" t="str">
        <f>IF('07nen'!$AC$18+'07nen'!$AC$20=0,"",'07nen'!$AC$18+'07nen'!$AC$20)</f>
        <v/>
      </c>
      <c r="AP19" s="604"/>
      <c r="AQ19" s="607"/>
      <c r="AR19" s="609" t="str">
        <f>IF('07nen'!$I$53="－","",'07nen'!$I$53)</f>
        <v/>
      </c>
      <c r="AS19" s="610"/>
      <c r="AT19" s="611"/>
      <c r="AU19" s="580" t="str">
        <f>+IF('07nen'!$AC$9-SUM('07nen'!$AC$18:$AC$20)&lt;=0,"",'07nen'!$AC$9-SUM('07nen'!$AC$18:$AC$20))</f>
        <v/>
      </c>
      <c r="AV19" s="581"/>
      <c r="AW19" s="621"/>
      <c r="AX19" s="610" t="str">
        <f>IF('07nen'!$I$54="－","",'07nen'!$I$54)</f>
        <v/>
      </c>
      <c r="AY19" s="610"/>
      <c r="AZ19" s="610"/>
      <c r="BA19" s="580" t="str">
        <f>IF('07nen'!$AG$70=0,"",'07nen'!$AG$70)</f>
        <v/>
      </c>
      <c r="BB19" s="581"/>
      <c r="BC19" s="581"/>
      <c r="BD19" s="609" t="str">
        <f>IF('07nen'!$I$55="－","",'07nen'!$I$55)</f>
        <v/>
      </c>
      <c r="BE19" s="610"/>
      <c r="BF19" s="611"/>
      <c r="BG19" s="615" t="str">
        <f>IF('07nen'!$AC$21=0,"",'07nen'!$AC$21)</f>
        <v/>
      </c>
      <c r="BH19" s="616"/>
      <c r="BI19" s="616"/>
      <c r="BJ19" s="617"/>
      <c r="BK19" s="581" t="str">
        <f>IF('07nen'!$AC$11=0,"",'07nen'!$AC$11)</f>
        <v/>
      </c>
      <c r="BL19" s="581"/>
      <c r="BM19" s="581"/>
      <c r="BN19" s="581"/>
      <c r="BO19" s="607" t="str">
        <f>IF('07nen'!$AC$11+'07nen'!$AC$12-'07nen'!$AC$29=0,"",'07nen'!$AC$11+'07nen'!$AC$12-'07nen'!$AC$29)</f>
        <v/>
      </c>
      <c r="BP19" s="581"/>
      <c r="BQ19" s="581"/>
      <c r="BR19" s="621"/>
      <c r="BS19" s="580" t="str">
        <f>IF('07nen'!$AC$13-'07nen'!$AC$28=0,"",'07nen'!$AC$13-'07nen'!$AC$28)</f>
        <v/>
      </c>
      <c r="BT19" s="581"/>
      <c r="BU19" s="581"/>
      <c r="BV19" s="581"/>
      <c r="BW19" s="580" t="str">
        <f>IF('07nen'!$AC$22=0,"",'07nen'!$AC$22)</f>
        <v/>
      </c>
      <c r="BX19" s="581"/>
      <c r="BY19" s="581"/>
      <c r="BZ19" s="581"/>
      <c r="CA19" s="621"/>
      <c r="CB19" s="127"/>
      <c r="CC19" s="305"/>
      <c r="CD19" s="305"/>
      <c r="CE19" s="128"/>
      <c r="CF19" s="128"/>
    </row>
    <row r="20" spans="1:84" ht="16.899999999999999" customHeight="1">
      <c r="A20" s="77"/>
      <c r="B20" s="128"/>
      <c r="C20" s="128"/>
      <c r="D20" s="128"/>
      <c r="E20" s="128"/>
      <c r="F20" s="1104"/>
      <c r="G20" s="1104"/>
      <c r="H20" s="1104"/>
      <c r="I20" s="1104"/>
      <c r="J20" s="1104"/>
      <c r="K20" s="772"/>
      <c r="L20" s="773"/>
      <c r="M20" s="773"/>
      <c r="N20" s="774"/>
      <c r="O20" s="582"/>
      <c r="P20" s="583"/>
      <c r="Q20" s="583"/>
      <c r="R20" s="622"/>
      <c r="S20" s="1106"/>
      <c r="T20" s="632"/>
      <c r="U20" s="632"/>
      <c r="V20" s="632"/>
      <c r="W20" s="632"/>
      <c r="X20" s="632"/>
      <c r="Y20" s="632"/>
      <c r="Z20" s="632"/>
      <c r="AA20" s="632"/>
      <c r="AB20" s="632"/>
      <c r="AC20" s="632"/>
      <c r="AD20" s="632"/>
      <c r="AE20" s="632"/>
      <c r="AF20" s="582"/>
      <c r="AG20" s="583"/>
      <c r="AH20" s="622"/>
      <c r="AI20" s="612"/>
      <c r="AJ20" s="613"/>
      <c r="AK20" s="614"/>
      <c r="AL20" s="605"/>
      <c r="AM20" s="606"/>
      <c r="AN20" s="606"/>
      <c r="AO20" s="606"/>
      <c r="AP20" s="606"/>
      <c r="AQ20" s="608"/>
      <c r="AR20" s="612"/>
      <c r="AS20" s="613"/>
      <c r="AT20" s="614"/>
      <c r="AU20" s="582"/>
      <c r="AV20" s="583"/>
      <c r="AW20" s="622"/>
      <c r="AX20" s="613"/>
      <c r="AY20" s="613"/>
      <c r="AZ20" s="613"/>
      <c r="BA20" s="582"/>
      <c r="BB20" s="583"/>
      <c r="BC20" s="583"/>
      <c r="BD20" s="612"/>
      <c r="BE20" s="613"/>
      <c r="BF20" s="614"/>
      <c r="BG20" s="618"/>
      <c r="BH20" s="619"/>
      <c r="BI20" s="619"/>
      <c r="BJ20" s="620"/>
      <c r="BK20" s="583"/>
      <c r="BL20" s="583"/>
      <c r="BM20" s="583"/>
      <c r="BN20" s="583"/>
      <c r="BO20" s="608"/>
      <c r="BP20" s="583"/>
      <c r="BQ20" s="583"/>
      <c r="BR20" s="622"/>
      <c r="BS20" s="582"/>
      <c r="BT20" s="583"/>
      <c r="BU20" s="583"/>
      <c r="BV20" s="583"/>
      <c r="BW20" s="582"/>
      <c r="BX20" s="583"/>
      <c r="BY20" s="583"/>
      <c r="BZ20" s="583"/>
      <c r="CA20" s="622"/>
      <c r="CB20" s="127"/>
      <c r="CC20" s="117"/>
      <c r="CD20" s="117"/>
      <c r="CE20" s="128"/>
      <c r="CF20" s="128"/>
    </row>
    <row r="21" spans="1:84" s="99" customFormat="1" ht="16.899999999999999" customHeight="1">
      <c r="A21" s="77"/>
      <c r="B21" s="128"/>
      <c r="C21" s="128"/>
      <c r="D21" s="128"/>
      <c r="E21" s="128"/>
      <c r="F21" s="584" t="s">
        <v>434</v>
      </c>
      <c r="G21" s="585"/>
      <c r="H21" s="585"/>
      <c r="I21" s="585"/>
      <c r="J21" s="585"/>
      <c r="K21" s="585"/>
      <c r="L21" s="585"/>
      <c r="M21" s="585"/>
      <c r="N21" s="585"/>
      <c r="O21" s="585"/>
      <c r="P21" s="585"/>
      <c r="Q21" s="585"/>
      <c r="R21" s="585"/>
      <c r="S21" s="585"/>
      <c r="T21" s="586"/>
      <c r="U21" s="587" t="s">
        <v>208</v>
      </c>
      <c r="V21" s="588"/>
      <c r="W21" s="588"/>
      <c r="X21" s="588"/>
      <c r="Y21" s="588"/>
      <c r="Z21" s="588"/>
      <c r="AA21" s="588"/>
      <c r="AB21" s="588"/>
      <c r="AC21" s="588"/>
      <c r="AD21" s="588"/>
      <c r="AE21" s="588"/>
      <c r="AF21" s="588"/>
      <c r="AG21" s="588"/>
      <c r="AH21" s="588"/>
      <c r="AI21" s="589"/>
      <c r="AJ21" s="587" t="s">
        <v>207</v>
      </c>
      <c r="AK21" s="588"/>
      <c r="AL21" s="588"/>
      <c r="AM21" s="588"/>
      <c r="AN21" s="588"/>
      <c r="AO21" s="588"/>
      <c r="AP21" s="588"/>
      <c r="AQ21" s="588"/>
      <c r="AR21" s="588"/>
      <c r="AS21" s="588"/>
      <c r="AT21" s="588"/>
      <c r="AU21" s="588"/>
      <c r="AV21" s="588"/>
      <c r="AW21" s="588"/>
      <c r="AX21" s="589"/>
      <c r="AY21" s="590" t="s">
        <v>206</v>
      </c>
      <c r="AZ21" s="591"/>
      <c r="BA21" s="591"/>
      <c r="BB21" s="591"/>
      <c r="BC21" s="591"/>
      <c r="BD21" s="591"/>
      <c r="BE21" s="591"/>
      <c r="BF21" s="591"/>
      <c r="BG21" s="591"/>
      <c r="BH21" s="591"/>
      <c r="BI21" s="591"/>
      <c r="BJ21" s="591"/>
      <c r="BK21" s="591"/>
      <c r="BL21" s="591"/>
      <c r="BM21" s="592"/>
      <c r="BN21" s="593" t="s">
        <v>205</v>
      </c>
      <c r="BO21" s="593"/>
      <c r="BP21" s="593"/>
      <c r="BQ21" s="593"/>
      <c r="BR21" s="593"/>
      <c r="BS21" s="593"/>
      <c r="BT21" s="593"/>
      <c r="BU21" s="593"/>
      <c r="BV21" s="593"/>
      <c r="BW21" s="593"/>
      <c r="BX21" s="593"/>
      <c r="BY21" s="593"/>
      <c r="BZ21" s="593"/>
      <c r="CA21" s="594"/>
      <c r="CB21" s="127"/>
      <c r="CC21" s="103"/>
      <c r="CD21" s="103"/>
      <c r="CE21" s="128"/>
      <c r="CF21" s="128"/>
    </row>
    <row r="22" spans="1:84" ht="18.75">
      <c r="A22" s="77"/>
      <c r="B22" s="128"/>
      <c r="C22" s="128"/>
      <c r="D22" s="128"/>
      <c r="E22" s="128"/>
      <c r="F22" s="595" t="s">
        <v>260</v>
      </c>
      <c r="G22" s="596"/>
      <c r="H22" s="596"/>
      <c r="I22" s="596"/>
      <c r="J22" s="596"/>
      <c r="K22" s="596"/>
      <c r="L22" s="596"/>
      <c r="M22" s="596"/>
      <c r="N22" s="596"/>
      <c r="O22" s="596"/>
      <c r="P22" s="596"/>
      <c r="Q22" s="596"/>
      <c r="R22" s="596"/>
      <c r="S22" s="596"/>
      <c r="T22" s="597"/>
      <c r="U22" s="598" t="s">
        <v>261</v>
      </c>
      <c r="V22" s="599"/>
      <c r="W22" s="390"/>
      <c r="X22" s="600" t="str">
        <f>IF('07nen'!$X$39=0,"",'07nen'!$X$39)</f>
        <v/>
      </c>
      <c r="Y22" s="600"/>
      <c r="Z22" s="600"/>
      <c r="AA22" s="600"/>
      <c r="AB22" s="600"/>
      <c r="AC22" s="600"/>
      <c r="AD22" s="600"/>
      <c r="AE22" s="600"/>
      <c r="AF22" s="600"/>
      <c r="AG22" s="600"/>
      <c r="AH22" s="601" t="s">
        <v>50</v>
      </c>
      <c r="AI22" s="602"/>
      <c r="AJ22" s="595" t="s">
        <v>260</v>
      </c>
      <c r="AK22" s="596"/>
      <c r="AL22" s="596"/>
      <c r="AM22" s="596"/>
      <c r="AN22" s="596"/>
      <c r="AO22" s="596"/>
      <c r="AP22" s="596"/>
      <c r="AQ22" s="596"/>
      <c r="AR22" s="596"/>
      <c r="AS22" s="596"/>
      <c r="AT22" s="596"/>
      <c r="AU22" s="596"/>
      <c r="AV22" s="596"/>
      <c r="AW22" s="596"/>
      <c r="AX22" s="597"/>
      <c r="AY22" s="595" t="s">
        <v>260</v>
      </c>
      <c r="AZ22" s="596"/>
      <c r="BA22" s="596"/>
      <c r="BB22" s="596"/>
      <c r="BC22" s="596"/>
      <c r="BD22" s="596"/>
      <c r="BE22" s="596"/>
      <c r="BF22" s="596"/>
      <c r="BG22" s="596"/>
      <c r="BH22" s="596"/>
      <c r="BI22" s="596"/>
      <c r="BJ22" s="596"/>
      <c r="BK22" s="596"/>
      <c r="BL22" s="596"/>
      <c r="BM22" s="597"/>
      <c r="BN22" s="601" t="s">
        <v>50</v>
      </c>
      <c r="BO22" s="601"/>
      <c r="BP22" s="601"/>
      <c r="BQ22" s="601"/>
      <c r="BR22" s="601"/>
      <c r="BS22" s="601"/>
      <c r="BT22" s="601"/>
      <c r="BU22" s="601"/>
      <c r="BV22" s="601"/>
      <c r="BW22" s="601"/>
      <c r="BX22" s="601"/>
      <c r="BY22" s="601"/>
      <c r="BZ22" s="601"/>
      <c r="CA22" s="602"/>
      <c r="CB22" s="127"/>
      <c r="CE22" s="128"/>
      <c r="CF22" s="128"/>
    </row>
    <row r="23" spans="1:84" ht="25.5">
      <c r="A23" s="416"/>
      <c r="B23" s="128"/>
      <c r="C23" s="128"/>
      <c r="D23" s="128"/>
      <c r="E23" s="128"/>
      <c r="F23" s="1106" t="str">
        <f>IF('07nen'!$O$8="甲欄",IF(OR('07nen'!$X$43="",'07nen'!$X$43=0),"",'07nen'!$X$43),"")</f>
        <v/>
      </c>
      <c r="G23" s="632"/>
      <c r="H23" s="632"/>
      <c r="I23" s="632"/>
      <c r="J23" s="632"/>
      <c r="K23" s="632"/>
      <c r="L23" s="632"/>
      <c r="M23" s="632"/>
      <c r="N23" s="632"/>
      <c r="O23" s="632"/>
      <c r="P23" s="632"/>
      <c r="Q23" s="632"/>
      <c r="R23" s="632"/>
      <c r="S23" s="632"/>
      <c r="T23" s="633"/>
      <c r="U23" s="1106" t="str">
        <f>IF(SUM(OR('07nen'!$X$37:$X$39)="",'07nen'!$X$37:$X$39)=0,"",SUM('07nen'!$X$37:$X$39))</f>
        <v/>
      </c>
      <c r="V23" s="632"/>
      <c r="W23" s="632"/>
      <c r="X23" s="632"/>
      <c r="Y23" s="632"/>
      <c r="Z23" s="632"/>
      <c r="AA23" s="632"/>
      <c r="AB23" s="632"/>
      <c r="AC23" s="632"/>
      <c r="AD23" s="632"/>
      <c r="AE23" s="632"/>
      <c r="AF23" s="632"/>
      <c r="AG23" s="632"/>
      <c r="AH23" s="632"/>
      <c r="AI23" s="633"/>
      <c r="AJ23" s="1106" t="str">
        <f>IF('07nen'!$O$8="甲欄",IF(OR('07nen'!$X$40="",'07nen'!$X$40=0),"",'07nen'!$X$40),"")</f>
        <v/>
      </c>
      <c r="AK23" s="632"/>
      <c r="AL23" s="632"/>
      <c r="AM23" s="632"/>
      <c r="AN23" s="632"/>
      <c r="AO23" s="632"/>
      <c r="AP23" s="632"/>
      <c r="AQ23" s="632"/>
      <c r="AR23" s="632"/>
      <c r="AS23" s="632"/>
      <c r="AT23" s="632"/>
      <c r="AU23" s="632"/>
      <c r="AV23" s="632"/>
      <c r="AW23" s="632"/>
      <c r="AX23" s="633"/>
      <c r="AY23" s="1106" t="str">
        <f>IF('07nen'!$O$8="甲欄",IF(OR('07nen'!$X$41="",'07nen'!$X$41=0),"",'07nen'!$X$41),"")</f>
        <v/>
      </c>
      <c r="AZ23" s="632"/>
      <c r="BA23" s="632"/>
      <c r="BB23" s="632"/>
      <c r="BC23" s="632"/>
      <c r="BD23" s="632"/>
      <c r="BE23" s="632"/>
      <c r="BF23" s="632"/>
      <c r="BG23" s="632"/>
      <c r="BH23" s="632"/>
      <c r="BI23" s="632"/>
      <c r="BJ23" s="632"/>
      <c r="BK23" s="632"/>
      <c r="BL23" s="632"/>
      <c r="BM23" s="633"/>
      <c r="BN23" s="632" t="str">
        <f>IF('07nen'!$O$8="甲欄",IF(OR('07nen'!$Y$49="",'07nen'!$Y$49=0),"",MIN('07nen'!$Y$48:$Y$49)),"")</f>
        <v/>
      </c>
      <c r="BO23" s="632"/>
      <c r="BP23" s="632"/>
      <c r="BQ23" s="632"/>
      <c r="BR23" s="632"/>
      <c r="BS23" s="632"/>
      <c r="BT23" s="632"/>
      <c r="BU23" s="632"/>
      <c r="BV23" s="632"/>
      <c r="BW23" s="632"/>
      <c r="BX23" s="632"/>
      <c r="BY23" s="632"/>
      <c r="BZ23" s="632"/>
      <c r="CA23" s="633"/>
      <c r="CB23" s="127"/>
      <c r="CE23" s="128"/>
      <c r="CF23" s="128"/>
    </row>
    <row r="24" spans="1:84" ht="23.45" customHeight="1">
      <c r="A24" s="74"/>
      <c r="B24" s="121"/>
      <c r="C24" s="121"/>
      <c r="D24" s="121"/>
      <c r="E24" s="121"/>
      <c r="F24" s="379" t="s">
        <v>56</v>
      </c>
      <c r="G24" s="380"/>
      <c r="H24" s="372"/>
      <c r="I24" s="372"/>
      <c r="J24" s="372"/>
      <c r="K24" s="372"/>
      <c r="M24" s="381"/>
      <c r="N24" s="381"/>
      <c r="O24" s="814" t="str">
        <f>CONCATENATE(IF('07nen'!$AB$41="","",'07nen'!$AB$41&amp;"　"),IF('07nen'!$AB$42="","",'07nen'!$AB$42&amp;"　"),IF('07nen'!$AB$43="","",'07nen'!$AB$43&amp;"　"),IF('07nen'!$AB$44="","",'07nen'!$AB$44&amp;"　"),IF('07nen'!$AB$45="","",'07nen'!$AB$45&amp;"　"),IF('07nen'!$AB$46="","",'07nen'!$AB$46&amp;"　"))&amp;IF('07nen'!$O$8="丙欄","丙欄適用","")&amp;IF(SUM('07nen'!$AD$28:$AD$30)&gt;0,IF('07nen'!$E$16="","",'07nen'!$AG$140&amp;'07nen'!$D$16&amp;'07nen'!$E$16&amp;"(同配)"),"")&amp;IF(SUM('07nen'!$AD$28:$AD$30)&gt;0,IF('07nen'!$E$74="","",'07nen'!$AG$140&amp;'07nen'!$D$74&amp;'07nen'!$E$74&amp;"(同配)"),"")&amp;"   "&amp;IF('07nen'!$Q$75="対象",'07nen'!$D$75&amp;'07nen'!$E$75&amp;"(調整)","")&amp;"   "&amp;IF('07nen'!$Q$76="対象",'07nen'!$D$76&amp;'07nen'!$E$76&amp;"(調整)","")&amp;"   "&amp;IF('07nen'!$C$40="","",'07nen'!$C$40)&amp;"      "&amp;IF('07nen'!$C$43="","",'07nen'!$C$43)</f>
        <v xml:space="preserve">               </v>
      </c>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814"/>
      <c r="BA24" s="814"/>
      <c r="BB24" s="814"/>
      <c r="BC24" s="814"/>
      <c r="BD24" s="814"/>
      <c r="BE24" s="814"/>
      <c r="BF24" s="814"/>
      <c r="BG24" s="814"/>
      <c r="BH24" s="814"/>
      <c r="BI24" s="814"/>
      <c r="BJ24" s="814"/>
      <c r="BK24" s="814"/>
      <c r="BL24" s="814"/>
      <c r="BM24" s="814"/>
      <c r="BN24" s="814"/>
      <c r="BO24" s="814"/>
      <c r="BP24" s="814"/>
      <c r="BQ24" s="814"/>
      <c r="BR24" s="814"/>
      <c r="BS24" s="814"/>
      <c r="BT24" s="814"/>
      <c r="BU24" s="814"/>
      <c r="BV24" s="814"/>
      <c r="BW24" s="814"/>
      <c r="BX24" s="814"/>
      <c r="BY24" s="814"/>
      <c r="BZ24" s="814"/>
      <c r="CA24" s="815"/>
      <c r="CB24" s="127"/>
      <c r="CC24" s="117"/>
      <c r="CD24" s="117"/>
      <c r="CE24" s="121"/>
      <c r="CF24" s="121"/>
    </row>
    <row r="25" spans="1:84" ht="24" customHeight="1">
      <c r="A25" s="74"/>
      <c r="B25" s="121"/>
      <c r="C25" s="121"/>
      <c r="D25" s="121"/>
      <c r="E25" s="121"/>
      <c r="F25" s="122"/>
      <c r="H25" s="809" t="str">
        <f>IF('07nen'!$O$8="甲欄","","年調未済")</f>
        <v/>
      </c>
      <c r="I25" s="809"/>
      <c r="J25" s="809"/>
      <c r="K25" s="809"/>
      <c r="L25" s="809"/>
      <c r="M25" s="809"/>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814"/>
      <c r="BF25" s="814"/>
      <c r="BG25" s="814"/>
      <c r="BH25" s="814"/>
      <c r="BI25" s="814"/>
      <c r="BJ25" s="814"/>
      <c r="BK25" s="814"/>
      <c r="BL25" s="814"/>
      <c r="BM25" s="814"/>
      <c r="BN25" s="814"/>
      <c r="BO25" s="814"/>
      <c r="BP25" s="814"/>
      <c r="BQ25" s="814"/>
      <c r="BR25" s="814"/>
      <c r="BS25" s="814"/>
      <c r="BT25" s="814"/>
      <c r="BU25" s="814"/>
      <c r="BV25" s="814"/>
      <c r="BW25" s="814"/>
      <c r="BX25" s="814"/>
      <c r="BY25" s="814"/>
      <c r="BZ25" s="814"/>
      <c r="CA25" s="815"/>
      <c r="CB25" s="127"/>
      <c r="CE25" s="121"/>
      <c r="CF25" s="121"/>
    </row>
    <row r="26" spans="1:84" ht="24.75" thickBot="1">
      <c r="A26" s="74"/>
      <c r="B26" s="121"/>
      <c r="C26" s="121"/>
      <c r="D26" s="121"/>
      <c r="E26" s="121"/>
      <c r="F26" s="122"/>
      <c r="H26" s="809" t="str">
        <f>IF('07nen'!$D$46="－","",'07nen'!$D$46)</f>
        <v/>
      </c>
      <c r="I26" s="809"/>
      <c r="J26" s="809"/>
      <c r="K26" s="809"/>
      <c r="L26" s="809"/>
      <c r="M26" s="809"/>
      <c r="N26" s="381"/>
      <c r="O26" s="814"/>
      <c r="P26" s="814"/>
      <c r="Q26" s="814"/>
      <c r="R26" s="814"/>
      <c r="S26" s="814"/>
      <c r="T26" s="814"/>
      <c r="U26" s="814"/>
      <c r="V26" s="814"/>
      <c r="W26" s="814"/>
      <c r="X26" s="814"/>
      <c r="Y26" s="814"/>
      <c r="Z26" s="814"/>
      <c r="AA26" s="814"/>
      <c r="AB26" s="814"/>
      <c r="AC26" s="814"/>
      <c r="AD26" s="814"/>
      <c r="AE26" s="814"/>
      <c r="AF26" s="814"/>
      <c r="AG26" s="814"/>
      <c r="AH26" s="814"/>
      <c r="AI26" s="814"/>
      <c r="AJ26" s="814"/>
      <c r="AK26" s="814"/>
      <c r="AL26" s="814"/>
      <c r="AM26" s="814"/>
      <c r="AN26" s="814"/>
      <c r="AO26" s="814"/>
      <c r="AP26" s="814"/>
      <c r="AQ26" s="814"/>
      <c r="AR26" s="814"/>
      <c r="AS26" s="814"/>
      <c r="AT26" s="814"/>
      <c r="AU26" s="814"/>
      <c r="AV26" s="814"/>
      <c r="AW26" s="814"/>
      <c r="AX26" s="814"/>
      <c r="AY26" s="814"/>
      <c r="AZ26" s="814"/>
      <c r="BA26" s="814"/>
      <c r="BB26" s="814"/>
      <c r="BC26" s="814"/>
      <c r="BD26" s="814"/>
      <c r="BE26" s="814"/>
      <c r="BF26" s="814"/>
      <c r="BG26" s="814"/>
      <c r="BH26" s="814"/>
      <c r="BI26" s="814"/>
      <c r="BJ26" s="814"/>
      <c r="BK26" s="814"/>
      <c r="BL26" s="814"/>
      <c r="BM26" s="814"/>
      <c r="BN26" s="814"/>
      <c r="BO26" s="814"/>
      <c r="BP26" s="814"/>
      <c r="BQ26" s="814"/>
      <c r="BR26" s="814"/>
      <c r="BS26" s="814"/>
      <c r="BT26" s="814"/>
      <c r="BU26" s="814"/>
      <c r="BV26" s="814"/>
      <c r="BW26" s="814"/>
      <c r="BX26" s="814"/>
      <c r="BY26" s="814"/>
      <c r="BZ26" s="814"/>
      <c r="CA26" s="815"/>
      <c r="CB26" s="127"/>
      <c r="CE26" s="121"/>
      <c r="CF26" s="121"/>
    </row>
    <row r="27" spans="1:84" ht="16.899999999999999" customHeight="1" thickTop="1">
      <c r="A27" s="77"/>
      <c r="B27" s="121"/>
      <c r="C27" s="121"/>
      <c r="D27" s="121"/>
      <c r="E27" s="121"/>
      <c r="F27" s="1426" t="s">
        <v>214</v>
      </c>
      <c r="G27" s="1416"/>
      <c r="H27" s="1416"/>
      <c r="I27" s="1416"/>
      <c r="J27" s="1411" t="s">
        <v>249</v>
      </c>
      <c r="K27" s="1411"/>
      <c r="L27" s="1411"/>
      <c r="M27" s="1411"/>
      <c r="N27" s="1411"/>
      <c r="O27" s="1411"/>
      <c r="P27" s="214"/>
      <c r="Q27" s="215"/>
      <c r="R27" s="215"/>
      <c r="S27" s="215"/>
      <c r="T27" s="215"/>
      <c r="U27" s="215"/>
      <c r="V27" s="1132" t="s">
        <v>50</v>
      </c>
      <c r="W27" s="1133"/>
      <c r="X27" s="1421" t="s">
        <v>250</v>
      </c>
      <c r="Y27" s="1108"/>
      <c r="Z27" s="1108"/>
      <c r="AA27" s="1108"/>
      <c r="AB27" s="1108"/>
      <c r="AC27" s="1109"/>
      <c r="AD27" s="216"/>
      <c r="AE27" s="215"/>
      <c r="AF27" s="215"/>
      <c r="AG27" s="215"/>
      <c r="AH27" s="215"/>
      <c r="AI27" s="217"/>
      <c r="AJ27" s="1132" t="s">
        <v>260</v>
      </c>
      <c r="AK27" s="1132"/>
      <c r="AL27" s="1421" t="s">
        <v>251</v>
      </c>
      <c r="AM27" s="1108"/>
      <c r="AN27" s="1108"/>
      <c r="AO27" s="1108"/>
      <c r="AP27" s="1108"/>
      <c r="AQ27" s="1109"/>
      <c r="AR27" s="216"/>
      <c r="AS27" s="215"/>
      <c r="AT27" s="215"/>
      <c r="AU27" s="215"/>
      <c r="AV27" s="215"/>
      <c r="AW27" s="215"/>
      <c r="AX27" s="1132" t="s">
        <v>50</v>
      </c>
      <c r="AY27" s="1132"/>
      <c r="AZ27" s="1421" t="s">
        <v>252</v>
      </c>
      <c r="BA27" s="1108"/>
      <c r="BB27" s="1108"/>
      <c r="BC27" s="1108"/>
      <c r="BD27" s="1108"/>
      <c r="BE27" s="1109"/>
      <c r="BF27" s="216"/>
      <c r="BG27" s="215"/>
      <c r="BH27" s="215"/>
      <c r="BI27" s="241"/>
      <c r="BJ27" s="241"/>
      <c r="BK27" s="241"/>
      <c r="BL27" s="1132" t="s">
        <v>50</v>
      </c>
      <c r="BM27" s="1132"/>
      <c r="BN27" s="1421" t="s">
        <v>253</v>
      </c>
      <c r="BO27" s="1108"/>
      <c r="BP27" s="1108"/>
      <c r="BQ27" s="1108"/>
      <c r="BR27" s="1108"/>
      <c r="BS27" s="1109"/>
      <c r="BT27" s="216"/>
      <c r="BU27" s="215"/>
      <c r="BV27" s="215"/>
      <c r="BW27" s="215"/>
      <c r="BX27" s="215"/>
      <c r="BY27" s="215"/>
      <c r="BZ27" s="1132" t="s">
        <v>50</v>
      </c>
      <c r="CA27" s="1134"/>
      <c r="CB27" s="127"/>
      <c r="CC27" s="117"/>
      <c r="CD27" s="117"/>
      <c r="CE27" s="121"/>
      <c r="CF27" s="121"/>
    </row>
    <row r="28" spans="1:84" ht="24.75" thickBot="1">
      <c r="A28" s="74"/>
      <c r="B28" s="121"/>
      <c r="C28" s="121"/>
      <c r="D28" s="121"/>
      <c r="E28" s="121"/>
      <c r="F28" s="1427"/>
      <c r="G28" s="1424"/>
      <c r="H28" s="1424"/>
      <c r="I28" s="1424"/>
      <c r="J28" s="1415"/>
      <c r="K28" s="1415"/>
      <c r="L28" s="1415"/>
      <c r="M28" s="1415"/>
      <c r="N28" s="1415"/>
      <c r="O28" s="1415"/>
      <c r="P28" s="218"/>
      <c r="Q28" s="1135" t="str">
        <f>IF('07nen'!$O$8="甲欄",IF('07nen'!$N$49="","",'07nen'!$N$49),"")</f>
        <v/>
      </c>
      <c r="R28" s="1135"/>
      <c r="S28" s="1135"/>
      <c r="T28" s="1135"/>
      <c r="U28" s="1135"/>
      <c r="V28" s="1135"/>
      <c r="W28" s="1136"/>
      <c r="X28" s="1131"/>
      <c r="Y28" s="1114"/>
      <c r="Z28" s="1114"/>
      <c r="AA28" s="1114"/>
      <c r="AB28" s="1114"/>
      <c r="AC28" s="1115"/>
      <c r="AD28" s="219"/>
      <c r="AE28" s="1135" t="str">
        <f>IF('07nen'!$O$8="甲欄",IF('07nen'!$P$49="","",'07nen'!$P$49),"")</f>
        <v/>
      </c>
      <c r="AF28" s="1135"/>
      <c r="AG28" s="1135"/>
      <c r="AH28" s="1135"/>
      <c r="AI28" s="1135"/>
      <c r="AJ28" s="1135"/>
      <c r="AK28" s="1135"/>
      <c r="AL28" s="1131"/>
      <c r="AM28" s="1114"/>
      <c r="AN28" s="1114"/>
      <c r="AO28" s="1114"/>
      <c r="AP28" s="1114"/>
      <c r="AQ28" s="1115"/>
      <c r="AR28" s="219"/>
      <c r="AS28" s="1137" t="str">
        <f>IF('07nen'!$O$8="甲欄",IF('07nen'!$N$50="","",'07nen'!$N$50),"")</f>
        <v/>
      </c>
      <c r="AT28" s="1137"/>
      <c r="AU28" s="1137"/>
      <c r="AV28" s="1137"/>
      <c r="AW28" s="1137"/>
      <c r="AX28" s="1137"/>
      <c r="AY28" s="1137"/>
      <c r="AZ28" s="1131"/>
      <c r="BA28" s="1114"/>
      <c r="BB28" s="1114"/>
      <c r="BC28" s="1114"/>
      <c r="BD28" s="1114"/>
      <c r="BE28" s="1115"/>
      <c r="BF28" s="219"/>
      <c r="BG28" s="1137" t="str">
        <f>IF('07nen'!$O$8="甲欄",IF('07nen'!$N$51="","",'07nen'!$N$51),"")</f>
        <v/>
      </c>
      <c r="BH28" s="1137"/>
      <c r="BI28" s="1137"/>
      <c r="BJ28" s="1137"/>
      <c r="BK28" s="1137"/>
      <c r="BL28" s="1137"/>
      <c r="BM28" s="1137"/>
      <c r="BN28" s="1131"/>
      <c r="BO28" s="1114"/>
      <c r="BP28" s="1114"/>
      <c r="BQ28" s="1114"/>
      <c r="BR28" s="1114"/>
      <c r="BS28" s="1115"/>
      <c r="BT28" s="220"/>
      <c r="BU28" s="1145" t="str">
        <f>IF('07nen'!$O$8="甲欄",IF('07nen'!$P$51="","",'07nen'!$P$51),"")</f>
        <v/>
      </c>
      <c r="BV28" s="1145"/>
      <c r="BW28" s="1145"/>
      <c r="BX28" s="1145"/>
      <c r="BY28" s="1145"/>
      <c r="BZ28" s="1145"/>
      <c r="CA28" s="1146"/>
      <c r="CB28" s="127"/>
      <c r="CC28" s="117"/>
      <c r="CD28" s="117"/>
      <c r="CE28" s="121"/>
      <c r="CF28" s="121"/>
    </row>
    <row r="29" spans="1:84" ht="16.899999999999999" customHeight="1" thickTop="1">
      <c r="A29" s="77"/>
      <c r="B29" s="121"/>
      <c r="C29" s="121"/>
      <c r="D29" s="121"/>
      <c r="E29" s="121"/>
      <c r="F29" s="1410" t="s">
        <v>215</v>
      </c>
      <c r="G29" s="1411"/>
      <c r="H29" s="1411"/>
      <c r="I29" s="1411"/>
      <c r="J29" s="1416" t="s">
        <v>229</v>
      </c>
      <c r="K29" s="1416"/>
      <c r="L29" s="1416"/>
      <c r="M29" s="1416"/>
      <c r="N29" s="1416"/>
      <c r="O29" s="1416"/>
      <c r="P29" s="1416"/>
      <c r="Q29" s="1418" t="str">
        <f>IF('07nen'!$O$8="甲欄",IF('07nen'!$B$52="－","",'07nen'!$B$52),"")</f>
        <v/>
      </c>
      <c r="R29" s="1123"/>
      <c r="S29" s="1123"/>
      <c r="T29" s="1123"/>
      <c r="U29" s="1123"/>
      <c r="V29" s="1123"/>
      <c r="W29" s="1123"/>
      <c r="X29" s="1124"/>
      <c r="Y29" s="1421" t="s">
        <v>227</v>
      </c>
      <c r="Z29" s="1108"/>
      <c r="AA29" s="1108"/>
      <c r="AB29" s="1108"/>
      <c r="AC29" s="1108"/>
      <c r="AD29" s="1108"/>
      <c r="AE29" s="1108"/>
      <c r="AF29" s="221"/>
      <c r="AG29" s="222"/>
      <c r="AH29" s="1132" t="s">
        <v>218</v>
      </c>
      <c r="AI29" s="1132"/>
      <c r="AJ29" s="223"/>
      <c r="AK29" s="222"/>
      <c r="AL29" s="1132" t="s">
        <v>217</v>
      </c>
      <c r="AM29" s="1160"/>
      <c r="AN29" s="222"/>
      <c r="AO29" s="222"/>
      <c r="AP29" s="1132" t="s">
        <v>216</v>
      </c>
      <c r="AQ29" s="1133"/>
      <c r="AR29" s="1108" t="s">
        <v>256</v>
      </c>
      <c r="AS29" s="1108"/>
      <c r="AT29" s="1108"/>
      <c r="AU29" s="1108"/>
      <c r="AV29" s="1108"/>
      <c r="AW29" s="1108"/>
      <c r="AX29" s="1108"/>
      <c r="AY29" s="1431" t="str">
        <f>IF('07nen'!$O$8="甲欄",IF('07nen'!$E$54="－","",'07nen'!$E$54),"")</f>
        <v/>
      </c>
      <c r="AZ29" s="1162"/>
      <c r="BA29" s="1162"/>
      <c r="BB29" s="1162"/>
      <c r="BC29" s="1162"/>
      <c r="BD29" s="1162"/>
      <c r="BE29" s="1163"/>
      <c r="BF29" s="1421" t="s">
        <v>254</v>
      </c>
      <c r="BG29" s="1108"/>
      <c r="BH29" s="1108"/>
      <c r="BI29" s="1108"/>
      <c r="BJ29" s="1108"/>
      <c r="BK29" s="1108"/>
      <c r="BL29" s="1109"/>
      <c r="BM29" s="215"/>
      <c r="BN29" s="215"/>
      <c r="BO29" s="215"/>
      <c r="BP29" s="215"/>
      <c r="BQ29" s="215"/>
      <c r="BR29" s="215"/>
      <c r="BS29" s="215"/>
      <c r="BT29" s="215"/>
      <c r="BU29" s="215"/>
      <c r="BV29" s="222"/>
      <c r="BW29" s="222"/>
      <c r="BX29" s="222"/>
      <c r="BY29" s="222"/>
      <c r="BZ29" s="1132" t="s">
        <v>50</v>
      </c>
      <c r="CA29" s="1134"/>
      <c r="CB29" s="127"/>
      <c r="CC29" s="117"/>
      <c r="CD29" s="117"/>
      <c r="CE29" s="121"/>
      <c r="CF29" s="121"/>
    </row>
    <row r="30" spans="1:84" ht="24">
      <c r="A30" s="74"/>
      <c r="B30" s="121"/>
      <c r="C30" s="121"/>
      <c r="D30" s="121"/>
      <c r="E30" s="121"/>
      <c r="F30" s="1412"/>
      <c r="G30" s="1413"/>
      <c r="H30" s="1413"/>
      <c r="I30" s="1413"/>
      <c r="J30" s="1417"/>
      <c r="K30" s="1417"/>
      <c r="L30" s="1417"/>
      <c r="M30" s="1417"/>
      <c r="N30" s="1417"/>
      <c r="O30" s="1417"/>
      <c r="P30" s="1417"/>
      <c r="Q30" s="1419"/>
      <c r="R30" s="850"/>
      <c r="S30" s="850"/>
      <c r="T30" s="850"/>
      <c r="U30" s="850"/>
      <c r="V30" s="850"/>
      <c r="W30" s="850"/>
      <c r="X30" s="1420"/>
      <c r="Y30" s="1422"/>
      <c r="Z30" s="1423"/>
      <c r="AA30" s="1423"/>
      <c r="AB30" s="1423"/>
      <c r="AC30" s="1423"/>
      <c r="AD30" s="1423"/>
      <c r="AE30" s="1423"/>
      <c r="AF30" s="1430" t="str">
        <f>IF('07nen'!$O$8="甲欄",IF('07nen'!$C$54="","",'07nen'!$C$54),"")</f>
        <v/>
      </c>
      <c r="AG30" s="817"/>
      <c r="AH30" s="817"/>
      <c r="AI30" s="207"/>
      <c r="AJ30" s="212"/>
      <c r="AK30" s="818" t="str">
        <f>IF('07nen'!$O$8="甲欄",IF('07nen'!$C$54="","",'07nen'!$C$54),"")</f>
        <v/>
      </c>
      <c r="AL30" s="818"/>
      <c r="AM30" s="213"/>
      <c r="AN30" s="208"/>
      <c r="AO30" s="819" t="str">
        <f>IF('07nen'!$O$8="甲欄",IF('07nen'!$C$54="","",'07nen'!$C$54),"")</f>
        <v/>
      </c>
      <c r="AP30" s="819"/>
      <c r="AQ30" s="210"/>
      <c r="AR30" s="1423"/>
      <c r="AS30" s="1423"/>
      <c r="AT30" s="1423"/>
      <c r="AU30" s="1423"/>
      <c r="AV30" s="1423"/>
      <c r="AW30" s="1423"/>
      <c r="AX30" s="1423"/>
      <c r="AY30" s="1432"/>
      <c r="AZ30" s="1433"/>
      <c r="BA30" s="1433"/>
      <c r="BB30" s="1433"/>
      <c r="BC30" s="1433"/>
      <c r="BD30" s="1433"/>
      <c r="BE30" s="1434"/>
      <c r="BF30" s="1422"/>
      <c r="BG30" s="1423"/>
      <c r="BH30" s="1423"/>
      <c r="BI30" s="1423"/>
      <c r="BJ30" s="1423"/>
      <c r="BK30" s="1423"/>
      <c r="BL30" s="1435"/>
      <c r="BM30" s="205"/>
      <c r="BN30" s="1428" t="str">
        <f>IF('07nen'!$O$8="甲欄",IF('07nen'!$F$54="","",'07nen'!$F$54),"")</f>
        <v/>
      </c>
      <c r="BO30" s="1428"/>
      <c r="BP30" s="1428"/>
      <c r="BQ30" s="1428"/>
      <c r="BR30" s="1428"/>
      <c r="BS30" s="1428"/>
      <c r="BT30" s="1428"/>
      <c r="BU30" s="1428"/>
      <c r="BV30" s="1428"/>
      <c r="BW30" s="1428"/>
      <c r="BX30" s="1428"/>
      <c r="BY30" s="1428"/>
      <c r="BZ30" s="1428"/>
      <c r="CA30" s="1429"/>
      <c r="CB30" s="127"/>
      <c r="CC30" s="117"/>
      <c r="CD30" s="117"/>
      <c r="CE30" s="121"/>
      <c r="CF30" s="121"/>
    </row>
    <row r="31" spans="1:84" ht="16.149999999999999" customHeight="1">
      <c r="A31" s="77"/>
      <c r="B31" s="121"/>
      <c r="C31" s="121"/>
      <c r="D31" s="121"/>
      <c r="E31" s="121"/>
      <c r="F31" s="1412"/>
      <c r="G31" s="1413"/>
      <c r="H31" s="1413"/>
      <c r="I31" s="1413"/>
      <c r="J31" s="1417" t="s">
        <v>230</v>
      </c>
      <c r="K31" s="1417"/>
      <c r="L31" s="1417"/>
      <c r="M31" s="1417"/>
      <c r="N31" s="1417"/>
      <c r="O31" s="1417"/>
      <c r="P31" s="1417"/>
      <c r="Q31" s="283"/>
      <c r="R31" s="204"/>
      <c r="S31" s="204"/>
      <c r="T31" s="204"/>
      <c r="U31" s="204"/>
      <c r="V31" s="204"/>
      <c r="W31" s="1139" t="s">
        <v>50</v>
      </c>
      <c r="X31" s="1425"/>
      <c r="Y31" s="1436" t="s">
        <v>228</v>
      </c>
      <c r="Z31" s="1171"/>
      <c r="AA31" s="1171"/>
      <c r="AB31" s="1171"/>
      <c r="AC31" s="1171"/>
      <c r="AD31" s="1171"/>
      <c r="AE31" s="1171"/>
      <c r="AF31" s="209"/>
      <c r="AG31" s="206"/>
      <c r="AH31" s="1139" t="s">
        <v>218</v>
      </c>
      <c r="AI31" s="1139"/>
      <c r="AJ31" s="211"/>
      <c r="AK31" s="206"/>
      <c r="AL31" s="1139" t="s">
        <v>217</v>
      </c>
      <c r="AM31" s="1439"/>
      <c r="AN31" s="206"/>
      <c r="AO31" s="206"/>
      <c r="AP31" s="1139" t="s">
        <v>216</v>
      </c>
      <c r="AQ31" s="1425"/>
      <c r="AR31" s="1171" t="s">
        <v>257</v>
      </c>
      <c r="AS31" s="1171"/>
      <c r="AT31" s="1171"/>
      <c r="AU31" s="1171"/>
      <c r="AV31" s="1171"/>
      <c r="AW31" s="1171"/>
      <c r="AX31" s="1171"/>
      <c r="AY31" s="1440" t="str">
        <f>IF('07nen'!$O$8="甲欄",IF('07nen'!$E$55="－","",'07nen'!$E$55),"")</f>
        <v/>
      </c>
      <c r="AZ31" s="1180"/>
      <c r="BA31" s="1180"/>
      <c r="BB31" s="1180"/>
      <c r="BC31" s="1180"/>
      <c r="BD31" s="1180"/>
      <c r="BE31" s="1441"/>
      <c r="BF31" s="1436" t="s">
        <v>255</v>
      </c>
      <c r="BG31" s="1171"/>
      <c r="BH31" s="1171"/>
      <c r="BI31" s="1171"/>
      <c r="BJ31" s="1171"/>
      <c r="BK31" s="1171"/>
      <c r="BL31" s="1437"/>
      <c r="BM31" s="204"/>
      <c r="BN31" s="204"/>
      <c r="BO31" s="204"/>
      <c r="BP31" s="204"/>
      <c r="BQ31" s="204"/>
      <c r="BR31" s="204"/>
      <c r="BS31" s="204"/>
      <c r="BT31" s="204"/>
      <c r="BU31" s="204"/>
      <c r="BV31" s="206"/>
      <c r="BW31" s="206"/>
      <c r="BX31" s="206"/>
      <c r="BY31" s="206"/>
      <c r="BZ31" s="1139" t="s">
        <v>50</v>
      </c>
      <c r="CA31" s="1438"/>
      <c r="CB31" s="127"/>
      <c r="CC31" s="117"/>
      <c r="CD31" s="117"/>
      <c r="CE31" s="121"/>
      <c r="CF31" s="121"/>
    </row>
    <row r="32" spans="1:84" ht="24.75" thickBot="1">
      <c r="A32" s="74"/>
      <c r="B32" s="121"/>
      <c r="C32" s="121"/>
      <c r="D32" s="121"/>
      <c r="E32" s="121"/>
      <c r="F32" s="1414"/>
      <c r="G32" s="1415"/>
      <c r="H32" s="1415"/>
      <c r="I32" s="1415"/>
      <c r="J32" s="1424"/>
      <c r="K32" s="1424"/>
      <c r="L32" s="1424"/>
      <c r="M32" s="1424"/>
      <c r="N32" s="1424"/>
      <c r="O32" s="1424"/>
      <c r="P32" s="1424"/>
      <c r="Q32" s="1174" t="str">
        <f>IF('07nen'!$O$8="甲欄",IF('07nen'!$F$52="","",'07nen'!$F$52),"")</f>
        <v/>
      </c>
      <c r="R32" s="1135"/>
      <c r="S32" s="1135"/>
      <c r="T32" s="1135"/>
      <c r="U32" s="1135"/>
      <c r="V32" s="1135"/>
      <c r="W32" s="1135"/>
      <c r="X32" s="1136"/>
      <c r="Y32" s="1131"/>
      <c r="Z32" s="1114"/>
      <c r="AA32" s="1114"/>
      <c r="AB32" s="1114"/>
      <c r="AC32" s="1114"/>
      <c r="AD32" s="1114"/>
      <c r="AE32" s="1114"/>
      <c r="AF32" s="1175" t="str">
        <f>IF('07nen'!$O$8="甲欄",IF('07nen'!$C$55="","",'07nen'!$C$55),"")</f>
        <v/>
      </c>
      <c r="AG32" s="1176"/>
      <c r="AH32" s="1176"/>
      <c r="AI32" s="224"/>
      <c r="AJ32" s="225"/>
      <c r="AK32" s="1177" t="str">
        <f>IF('07nen'!$O$8="甲欄",IF('07nen'!$C$55="","",'07nen'!$C$55),"")</f>
        <v/>
      </c>
      <c r="AL32" s="1177"/>
      <c r="AM32" s="226"/>
      <c r="AN32" s="227"/>
      <c r="AO32" s="1185" t="str">
        <f>IF('07nen'!$O$8="甲欄",IF('07nen'!$C$55="","",'07nen'!$C$55),"")</f>
        <v/>
      </c>
      <c r="AP32" s="1185"/>
      <c r="AQ32" s="228"/>
      <c r="AR32" s="1114"/>
      <c r="AS32" s="1114"/>
      <c r="AT32" s="1114"/>
      <c r="AU32" s="1114"/>
      <c r="AV32" s="1114"/>
      <c r="AW32" s="1114"/>
      <c r="AX32" s="1114"/>
      <c r="AY32" s="1182"/>
      <c r="AZ32" s="1183"/>
      <c r="BA32" s="1183"/>
      <c r="BB32" s="1183"/>
      <c r="BC32" s="1183"/>
      <c r="BD32" s="1183"/>
      <c r="BE32" s="1184"/>
      <c r="BF32" s="1131"/>
      <c r="BG32" s="1114"/>
      <c r="BH32" s="1114"/>
      <c r="BI32" s="1114"/>
      <c r="BJ32" s="1114"/>
      <c r="BK32" s="1114"/>
      <c r="BL32" s="1115"/>
      <c r="BM32" s="219"/>
      <c r="BN32" s="1128" t="str">
        <f>IF('07nen'!$O$8="甲欄",IF('07nen'!$F$55="","",'07nen'!$F$55),"")</f>
        <v/>
      </c>
      <c r="BO32" s="1128"/>
      <c r="BP32" s="1128"/>
      <c r="BQ32" s="1128"/>
      <c r="BR32" s="1128"/>
      <c r="BS32" s="1128"/>
      <c r="BT32" s="1128"/>
      <c r="BU32" s="1128"/>
      <c r="BV32" s="1128"/>
      <c r="BW32" s="1128"/>
      <c r="BX32" s="1128"/>
      <c r="BY32" s="1128"/>
      <c r="BZ32" s="1128"/>
      <c r="CA32" s="1129"/>
      <c r="CB32" s="127"/>
      <c r="CC32" s="117"/>
      <c r="CD32" s="117"/>
      <c r="CE32" s="121"/>
      <c r="CF32" s="121"/>
    </row>
    <row r="33" spans="1:84" ht="12.6" customHeight="1" thickTop="1">
      <c r="A33" s="98"/>
      <c r="B33" s="100"/>
      <c r="C33" s="121"/>
      <c r="D33" s="121"/>
      <c r="E33" s="121"/>
      <c r="F33" s="1446" t="s">
        <v>299</v>
      </c>
      <c r="G33" s="1446"/>
      <c r="H33" s="1446"/>
      <c r="I33" s="1446"/>
      <c r="J33" s="755" t="s">
        <v>221</v>
      </c>
      <c r="K33" s="753"/>
      <c r="L33" s="753"/>
      <c r="M33" s="754"/>
      <c r="N33" s="124"/>
      <c r="O33" s="893" t="str">
        <f>IF('07nen'!$F$16="","",IF($X$35="","",'07nen'!$F$16))</f>
        <v/>
      </c>
      <c r="P33" s="893"/>
      <c r="Q33" s="893"/>
      <c r="R33" s="893"/>
      <c r="S33" s="893"/>
      <c r="T33" s="893"/>
      <c r="U33" s="893"/>
      <c r="V33" s="124"/>
      <c r="W33" s="124"/>
      <c r="X33" s="893" t="str">
        <f>IF('07nen'!$G$16="","",IF($X$35="","",'07nen'!$G$16))</f>
        <v/>
      </c>
      <c r="Y33" s="893"/>
      <c r="Z33" s="893"/>
      <c r="AA33" s="893"/>
      <c r="AB33" s="893"/>
      <c r="AC33" s="893"/>
      <c r="AD33" s="893"/>
      <c r="AE33" s="404"/>
      <c r="AF33" s="895" t="s">
        <v>220</v>
      </c>
      <c r="AG33" s="896"/>
      <c r="AH33" s="899" t="str">
        <f>IF('07nen'!$P$16="－","",IF('07nen'!$X$42&gt;0,'07nen'!$P$16,""))</f>
        <v/>
      </c>
      <c r="AI33" s="899"/>
      <c r="AJ33" s="899"/>
      <c r="AK33" s="899"/>
      <c r="AL33" s="1443" t="s">
        <v>222</v>
      </c>
      <c r="AM33" s="1199"/>
      <c r="AN33" s="1199"/>
      <c r="AO33" s="1199"/>
      <c r="AP33" s="1199"/>
      <c r="AQ33" s="1199"/>
      <c r="AR33" s="1199"/>
      <c r="AS33" s="235"/>
      <c r="AT33" s="215"/>
      <c r="AU33" s="222"/>
      <c r="AV33" s="222"/>
      <c r="AW33" s="222"/>
      <c r="AX33" s="1132" t="s">
        <v>260</v>
      </c>
      <c r="AY33" s="1133"/>
      <c r="AZ33" s="1108" t="s">
        <v>223</v>
      </c>
      <c r="BA33" s="1108"/>
      <c r="BB33" s="1108"/>
      <c r="BC33" s="1108"/>
      <c r="BD33" s="1108"/>
      <c r="BE33" s="1108"/>
      <c r="BF33" s="1108"/>
      <c r="BG33" s="284"/>
      <c r="BH33" s="233"/>
      <c r="BI33" s="222"/>
      <c r="BJ33" s="222"/>
      <c r="BK33" s="222"/>
      <c r="BL33" s="1132" t="s">
        <v>50</v>
      </c>
      <c r="BM33" s="1133"/>
      <c r="BN33" s="1108" t="s">
        <v>224</v>
      </c>
      <c r="BO33" s="1108"/>
      <c r="BP33" s="1108"/>
      <c r="BQ33" s="1108"/>
      <c r="BR33" s="1108"/>
      <c r="BS33" s="1108"/>
      <c r="BT33" s="1108"/>
      <c r="BU33" s="235"/>
      <c r="BV33" s="215"/>
      <c r="BW33" s="222"/>
      <c r="BX33" s="222"/>
      <c r="BY33" s="222"/>
      <c r="BZ33" s="1132" t="s">
        <v>50</v>
      </c>
      <c r="CA33" s="1133"/>
      <c r="CB33" s="127"/>
      <c r="CC33" s="117"/>
      <c r="CD33" s="117"/>
      <c r="CE33" s="121"/>
      <c r="CF33" s="121"/>
    </row>
    <row r="34" spans="1:84" s="195" customFormat="1" ht="12" customHeight="1">
      <c r="A34" s="98"/>
      <c r="B34" s="194"/>
      <c r="C34" s="196"/>
      <c r="D34" s="196"/>
      <c r="E34" s="196"/>
      <c r="F34" s="1447"/>
      <c r="G34" s="1447"/>
      <c r="H34" s="1447"/>
      <c r="I34" s="1447"/>
      <c r="J34" s="943"/>
      <c r="K34" s="944"/>
      <c r="L34" s="944"/>
      <c r="M34" s="945"/>
      <c r="N34" s="406"/>
      <c r="O34" s="894"/>
      <c r="P34" s="894"/>
      <c r="Q34" s="894"/>
      <c r="R34" s="894"/>
      <c r="S34" s="894"/>
      <c r="T34" s="894"/>
      <c r="U34" s="894"/>
      <c r="V34" s="406"/>
      <c r="W34" s="406"/>
      <c r="X34" s="894"/>
      <c r="Y34" s="894"/>
      <c r="Z34" s="894"/>
      <c r="AA34" s="894"/>
      <c r="AB34" s="894"/>
      <c r="AC34" s="894"/>
      <c r="AD34" s="894"/>
      <c r="AE34" s="407"/>
      <c r="AF34" s="897"/>
      <c r="AG34" s="898"/>
      <c r="AH34" s="900"/>
      <c r="AI34" s="900"/>
      <c r="AJ34" s="900"/>
      <c r="AK34" s="900"/>
      <c r="AL34" s="1444"/>
      <c r="AM34" s="1202"/>
      <c r="AN34" s="1202"/>
      <c r="AO34" s="1202"/>
      <c r="AP34" s="1202"/>
      <c r="AQ34" s="1202"/>
      <c r="AR34" s="1202"/>
      <c r="AS34" s="1188" t="str">
        <f>IF('07nen'!$O$8="甲欄",IF('07nen'!$J$16="","",IF('07nen'!$X$42&gt;0,'07nen'!$K$38,"")),"")</f>
        <v/>
      </c>
      <c r="AT34" s="1189"/>
      <c r="AU34" s="1189"/>
      <c r="AV34" s="1189"/>
      <c r="AW34" s="1189"/>
      <c r="AX34" s="1189"/>
      <c r="AY34" s="1190"/>
      <c r="AZ34" s="1111"/>
      <c r="BA34" s="1111"/>
      <c r="BB34" s="1111"/>
      <c r="BC34" s="1111"/>
      <c r="BD34" s="1111"/>
      <c r="BE34" s="1111"/>
      <c r="BF34" s="1111"/>
      <c r="BG34" s="1188" t="str">
        <f>IF('07nen'!$O$8="甲欄",IF('07nen'!$P$54="","",'07nen'!$P$54),"")</f>
        <v/>
      </c>
      <c r="BH34" s="1189"/>
      <c r="BI34" s="1189"/>
      <c r="BJ34" s="1189"/>
      <c r="BK34" s="1189"/>
      <c r="BL34" s="1189"/>
      <c r="BM34" s="1190"/>
      <c r="BN34" s="1111"/>
      <c r="BO34" s="1111"/>
      <c r="BP34" s="1111"/>
      <c r="BQ34" s="1111"/>
      <c r="BR34" s="1111"/>
      <c r="BS34" s="1111"/>
      <c r="BT34" s="1111"/>
      <c r="BU34" s="1194" t="str">
        <f>IF('07nen'!$O$8="甲欄",IF('07nen'!$P$52="","",'07nen'!$P$52),"")</f>
        <v/>
      </c>
      <c r="BV34" s="1195"/>
      <c r="BW34" s="1195"/>
      <c r="BX34" s="1195"/>
      <c r="BY34" s="1195"/>
      <c r="BZ34" s="1195"/>
      <c r="CA34" s="1196"/>
      <c r="CB34" s="127"/>
      <c r="CC34" s="197"/>
      <c r="CD34" s="197"/>
      <c r="CE34" s="196"/>
      <c r="CF34" s="196"/>
    </row>
    <row r="35" spans="1:84" s="195" customFormat="1" ht="12.6" customHeight="1">
      <c r="A35" s="98"/>
      <c r="B35" s="194"/>
      <c r="C35" s="196"/>
      <c r="D35" s="196"/>
      <c r="E35" s="196"/>
      <c r="F35" s="1447"/>
      <c r="G35" s="1447"/>
      <c r="H35" s="1447"/>
      <c r="I35" s="1447"/>
      <c r="J35" s="755" t="s">
        <v>66</v>
      </c>
      <c r="K35" s="753"/>
      <c r="L35" s="753"/>
      <c r="M35" s="754"/>
      <c r="N35" s="408"/>
      <c r="O35" s="877" t="str">
        <f>IF('07nen'!$D$16="","",IF($X$35="","",'07nen'!$D$16))</f>
        <v/>
      </c>
      <c r="P35" s="877"/>
      <c r="Q35" s="877"/>
      <c r="R35" s="877"/>
      <c r="S35" s="877"/>
      <c r="T35" s="877"/>
      <c r="U35" s="877"/>
      <c r="V35" s="408"/>
      <c r="W35" s="408"/>
      <c r="X35" s="877" t="str">
        <f>IF('07nen'!$Q$16="対象",IF('07nen'!$E$16="","",'07nen'!$E$16),IF('07nen'!$Q$16="源泉",IF('07nen'!$E$16="","",'07nen'!$E$16),(IF('07nen'!$P$34&gt;0,IF('07nen'!$E$16="","",'07nen'!$E$16),""))))</f>
        <v/>
      </c>
      <c r="Y35" s="877"/>
      <c r="Z35" s="877"/>
      <c r="AA35" s="877"/>
      <c r="AB35" s="877"/>
      <c r="AC35" s="877"/>
      <c r="AD35" s="877"/>
      <c r="AE35" s="408"/>
      <c r="AF35" s="897"/>
      <c r="AG35" s="898"/>
      <c r="AH35" s="900"/>
      <c r="AI35" s="900"/>
      <c r="AJ35" s="900"/>
      <c r="AK35" s="900"/>
      <c r="AL35" s="1201"/>
      <c r="AM35" s="1202"/>
      <c r="AN35" s="1202"/>
      <c r="AO35" s="1202"/>
      <c r="AP35" s="1202"/>
      <c r="AQ35" s="1202"/>
      <c r="AR35" s="1202"/>
      <c r="AS35" s="1188"/>
      <c r="AT35" s="1189"/>
      <c r="AU35" s="1189"/>
      <c r="AV35" s="1189"/>
      <c r="AW35" s="1189"/>
      <c r="AX35" s="1189"/>
      <c r="AY35" s="1190"/>
      <c r="AZ35" s="1152"/>
      <c r="BA35" s="1152"/>
      <c r="BB35" s="1152"/>
      <c r="BC35" s="1152"/>
      <c r="BD35" s="1152"/>
      <c r="BE35" s="1152"/>
      <c r="BF35" s="1152"/>
      <c r="BG35" s="1210"/>
      <c r="BH35" s="1192"/>
      <c r="BI35" s="1192"/>
      <c r="BJ35" s="1192"/>
      <c r="BK35" s="1192"/>
      <c r="BL35" s="1192"/>
      <c r="BM35" s="1193"/>
      <c r="BN35" s="1152"/>
      <c r="BO35" s="1152"/>
      <c r="BP35" s="1152"/>
      <c r="BQ35" s="1152"/>
      <c r="BR35" s="1152"/>
      <c r="BS35" s="1152"/>
      <c r="BT35" s="1152"/>
      <c r="BU35" s="1167"/>
      <c r="BV35" s="1168"/>
      <c r="BW35" s="1168"/>
      <c r="BX35" s="1168"/>
      <c r="BY35" s="1168"/>
      <c r="BZ35" s="1168"/>
      <c r="CA35" s="1169"/>
      <c r="CB35" s="127"/>
      <c r="CC35" s="197"/>
      <c r="CD35" s="197"/>
      <c r="CE35" s="196"/>
      <c r="CF35" s="196"/>
    </row>
    <row r="36" spans="1:84" ht="12.6" customHeight="1">
      <c r="A36" s="98"/>
      <c r="B36" s="100"/>
      <c r="C36" s="121"/>
      <c r="D36" s="121"/>
      <c r="E36" s="121"/>
      <c r="F36" s="1447"/>
      <c r="G36" s="1447"/>
      <c r="H36" s="1447"/>
      <c r="I36" s="1447"/>
      <c r="J36" s="756"/>
      <c r="K36" s="757"/>
      <c r="L36" s="757"/>
      <c r="M36" s="758"/>
      <c r="N36" s="124"/>
      <c r="O36" s="877"/>
      <c r="P36" s="877"/>
      <c r="Q36" s="877"/>
      <c r="R36" s="877"/>
      <c r="S36" s="877"/>
      <c r="T36" s="877"/>
      <c r="U36" s="877"/>
      <c r="V36" s="124"/>
      <c r="W36" s="124"/>
      <c r="X36" s="877"/>
      <c r="Y36" s="877"/>
      <c r="Z36" s="877"/>
      <c r="AA36" s="877"/>
      <c r="AB36" s="877"/>
      <c r="AC36" s="877"/>
      <c r="AD36" s="877"/>
      <c r="AE36" s="124"/>
      <c r="AF36" s="898"/>
      <c r="AG36" s="898"/>
      <c r="AH36" s="900"/>
      <c r="AI36" s="900"/>
      <c r="AJ36" s="900"/>
      <c r="AK36" s="900"/>
      <c r="AL36" s="1201"/>
      <c r="AM36" s="1202"/>
      <c r="AN36" s="1202"/>
      <c r="AO36" s="1202"/>
      <c r="AP36" s="1202"/>
      <c r="AQ36" s="1202"/>
      <c r="AR36" s="1202"/>
      <c r="AS36" s="1188"/>
      <c r="AT36" s="1189"/>
      <c r="AU36" s="1189"/>
      <c r="AV36" s="1189"/>
      <c r="AW36" s="1189"/>
      <c r="AX36" s="1189"/>
      <c r="AY36" s="1190"/>
      <c r="AZ36" s="1111" t="s">
        <v>348</v>
      </c>
      <c r="BA36" s="1111"/>
      <c r="BB36" s="1111"/>
      <c r="BC36" s="1111"/>
      <c r="BD36" s="1111"/>
      <c r="BE36" s="1111"/>
      <c r="BF36" s="1111"/>
      <c r="BG36" s="234"/>
      <c r="BL36" s="832" t="s">
        <v>50</v>
      </c>
      <c r="BM36" s="1442"/>
      <c r="BN36" s="1111" t="s">
        <v>347</v>
      </c>
      <c r="BO36" s="1111"/>
      <c r="BP36" s="1111"/>
      <c r="BQ36" s="1111"/>
      <c r="BR36" s="1111"/>
      <c r="BS36" s="1111"/>
      <c r="BT36" s="1111"/>
      <c r="BU36" s="234"/>
      <c r="BZ36" s="832" t="s">
        <v>50</v>
      </c>
      <c r="CA36" s="1442"/>
      <c r="CB36" s="127"/>
      <c r="CC36" s="117"/>
      <c r="CD36" s="117"/>
      <c r="CE36" s="121"/>
      <c r="CF36" s="121"/>
    </row>
    <row r="37" spans="1:84" ht="24">
      <c r="A37" s="74"/>
      <c r="B37" s="100"/>
      <c r="C37" s="121"/>
      <c r="D37" s="121"/>
      <c r="E37" s="121"/>
      <c r="F37" s="1447"/>
      <c r="G37" s="1447"/>
      <c r="H37" s="1447"/>
      <c r="I37" s="1447"/>
      <c r="J37" s="936" t="s">
        <v>219</v>
      </c>
      <c r="K37" s="936"/>
      <c r="L37" s="936"/>
      <c r="M37" s="936"/>
      <c r="N37" s="905" t="str">
        <f>IF('07nen'!$H$16="","",IF(X35="","",MIDB('07nen'!$H$16+1000000000000,2,1)))</f>
        <v/>
      </c>
      <c r="O37" s="905"/>
      <c r="P37" s="905" t="str">
        <f>IF($N$37="","",(MIDB('07nen'!$H$16+1000000000000,3,1)))</f>
        <v/>
      </c>
      <c r="Q37" s="905"/>
      <c r="R37" s="905" t="str">
        <f>IF($N$37="","",(MIDB('07nen'!$H$16+1000000000000,4,1)))</f>
        <v/>
      </c>
      <c r="S37" s="905"/>
      <c r="T37" s="905" t="str">
        <f>IF($N$37="","",(MIDB('07nen'!$H$16+1000000000000,5,1)))</f>
        <v/>
      </c>
      <c r="U37" s="905"/>
      <c r="V37" s="905" t="str">
        <f>IF($N$37="","",(MIDB('07nen'!$H$16+1000000000000,6,1)))</f>
        <v/>
      </c>
      <c r="W37" s="905"/>
      <c r="X37" s="905" t="str">
        <f>IF($N$37="","",(MIDB('07nen'!$H$16+1000000000000,7,1)))</f>
        <v/>
      </c>
      <c r="Y37" s="905"/>
      <c r="Z37" s="905" t="str">
        <f>IF($N$37="","",(MIDB('07nen'!$H$16+1000000000000,8,1)))</f>
        <v/>
      </c>
      <c r="AA37" s="905"/>
      <c r="AB37" s="905" t="str">
        <f>IF($N$37="","",(MIDB('07nen'!$H$16+1000000000000,9,1)))</f>
        <v/>
      </c>
      <c r="AC37" s="905"/>
      <c r="AD37" s="905" t="str">
        <f>IF($N$37="","",(MIDB('07nen'!$H$16+1000000000000,10,1)))</f>
        <v/>
      </c>
      <c r="AE37" s="928"/>
      <c r="AF37" s="905" t="str">
        <f>IF($N$37="","",(MIDB('07nen'!$H$16+1000000000000,11,1)))</f>
        <v/>
      </c>
      <c r="AG37" s="905"/>
      <c r="AH37" s="905" t="str">
        <f>IF($N$37="","",(MIDB('07nen'!$H$16+1000000000000,12,1)))</f>
        <v/>
      </c>
      <c r="AI37" s="905"/>
      <c r="AJ37" s="905" t="str">
        <f>IF($N$37="","",(MIDB('07nen'!$H$16+1000000000000,13,1)))</f>
        <v/>
      </c>
      <c r="AK37" s="905"/>
      <c r="AL37" s="1204"/>
      <c r="AM37" s="1205"/>
      <c r="AN37" s="1205"/>
      <c r="AO37" s="1205"/>
      <c r="AP37" s="1205"/>
      <c r="AQ37" s="1205"/>
      <c r="AR37" s="1205"/>
      <c r="AS37" s="1210"/>
      <c r="AT37" s="1192"/>
      <c r="AU37" s="1192"/>
      <c r="AV37" s="1192"/>
      <c r="AW37" s="1192"/>
      <c r="AX37" s="1192"/>
      <c r="AY37" s="1193"/>
      <c r="AZ37" s="1152"/>
      <c r="BA37" s="1152"/>
      <c r="BB37" s="1152"/>
      <c r="BC37" s="1152"/>
      <c r="BD37" s="1152"/>
      <c r="BE37" s="1152"/>
      <c r="BF37" s="1152"/>
      <c r="BG37" s="1210">
        <f>IF('07nen'!$O$8="甲欄",IF('07nen'!$P$31="","",IF('07nen'!$P$31=480000,"",'07nen'!$P$31)),"")</f>
        <v>950000</v>
      </c>
      <c r="BH37" s="1192"/>
      <c r="BI37" s="1192"/>
      <c r="BJ37" s="1192"/>
      <c r="BK37" s="1192"/>
      <c r="BL37" s="1192"/>
      <c r="BM37" s="1193"/>
      <c r="BN37" s="1152"/>
      <c r="BO37" s="1152"/>
      <c r="BP37" s="1152"/>
      <c r="BQ37" s="1152"/>
      <c r="BR37" s="1152"/>
      <c r="BS37" s="1152"/>
      <c r="BT37" s="1152"/>
      <c r="BU37" s="1167" t="str">
        <f>IF('07nen'!$O$8="甲欄",IF('07nen'!$X$35="","",'07nen'!$X$35),"")</f>
        <v/>
      </c>
      <c r="BV37" s="1168"/>
      <c r="BW37" s="1168"/>
      <c r="BX37" s="1168"/>
      <c r="BY37" s="1168"/>
      <c r="BZ37" s="1168"/>
      <c r="CA37" s="1169"/>
      <c r="CB37" s="127"/>
      <c r="CC37" s="117"/>
      <c r="CD37" s="117"/>
      <c r="CE37" s="121"/>
      <c r="CF37" s="121"/>
    </row>
    <row r="38" spans="1:84" ht="23.45" customHeight="1">
      <c r="A38" s="74"/>
      <c r="B38" s="100"/>
      <c r="C38" s="121"/>
      <c r="D38" s="121"/>
      <c r="E38" s="121"/>
      <c r="F38" s="1445" t="s">
        <v>225</v>
      </c>
      <c r="G38" s="1445"/>
      <c r="H38" s="1445"/>
      <c r="I38" s="1447">
        <v>1</v>
      </c>
      <c r="J38" s="920" t="s">
        <v>221</v>
      </c>
      <c r="K38" s="921"/>
      <c r="L38" s="921"/>
      <c r="M38" s="920"/>
      <c r="N38" s="409"/>
      <c r="O38" s="922" t="str">
        <f>IF(OR('07nen'!$R$17&gt;0,'07nen'!$Q$17="対象"),IF('07nen'!$F$17="","",'07nen'!$F$17),"")</f>
        <v/>
      </c>
      <c r="P38" s="922"/>
      <c r="Q38" s="922"/>
      <c r="R38" s="922"/>
      <c r="S38" s="922"/>
      <c r="T38" s="922"/>
      <c r="U38" s="922"/>
      <c r="V38" s="410"/>
      <c r="W38" s="410"/>
      <c r="X38" s="922" t="str">
        <f>IF(OR('07nen'!$R$17&gt;0,'07nen'!$Q$17="対象"),IF('07nen'!$G$17="","",'07nen'!$G$17),"")</f>
        <v/>
      </c>
      <c r="Y38" s="922"/>
      <c r="Z38" s="922"/>
      <c r="AA38" s="922"/>
      <c r="AB38" s="922"/>
      <c r="AC38" s="922"/>
      <c r="AD38" s="922"/>
      <c r="AE38" s="411"/>
      <c r="AF38" s="923" t="s">
        <v>220</v>
      </c>
      <c r="AG38" s="924"/>
      <c r="AH38" s="926" t="str">
        <f>IF(OR('07nen'!$R$17&gt;0,'07nen'!$Q$17="対象"),IF(AND('07nen'!$R$17=0,'07nen'!$P$17="－"),"",MAX('07nen'!$R$17,'07nen'!$P$17)),"")</f>
        <v/>
      </c>
      <c r="AI38" s="926"/>
      <c r="AJ38" s="926"/>
      <c r="AK38" s="926"/>
      <c r="AL38" s="1461" t="s">
        <v>226</v>
      </c>
      <c r="AM38" s="1461"/>
      <c r="AN38" s="1461"/>
      <c r="AO38" s="1462">
        <v>1</v>
      </c>
      <c r="AP38" s="1463" t="s">
        <v>221</v>
      </c>
      <c r="AQ38" s="920"/>
      <c r="AR38" s="920"/>
      <c r="AS38" s="1464"/>
      <c r="AT38" s="412"/>
      <c r="AU38" s="922" t="str">
        <f>IF('07nen'!$Q$23="対象",IF('07nen'!$F$23="","",'07nen'!$F$23),"")</f>
        <v/>
      </c>
      <c r="AV38" s="922"/>
      <c r="AW38" s="922"/>
      <c r="AX38" s="922"/>
      <c r="AY38" s="922"/>
      <c r="AZ38" s="922"/>
      <c r="BA38" s="922"/>
      <c r="BB38" s="410"/>
      <c r="BC38" s="410"/>
      <c r="BD38" s="922" t="str">
        <f>IF('07nen'!$Q$23="対象",IF('07nen'!$G$23="","",'07nen'!$G$23),"")</f>
        <v/>
      </c>
      <c r="BE38" s="922"/>
      <c r="BF38" s="922"/>
      <c r="BG38" s="922"/>
      <c r="BH38" s="922"/>
      <c r="BI38" s="922"/>
      <c r="BJ38" s="922"/>
      <c r="BK38" s="411"/>
      <c r="BL38" s="1448" t="s">
        <v>220</v>
      </c>
      <c r="BM38" s="1449"/>
      <c r="BN38" s="1452" t="str">
        <f>IF('07nen'!$Q$23="対象",IF('07nen'!$P$23="－","",'07nen'!$P$23),"")</f>
        <v/>
      </c>
      <c r="BO38" s="1453"/>
      <c r="BP38" s="1453"/>
      <c r="BQ38" s="1454"/>
      <c r="BR38" s="1458" t="s">
        <v>263</v>
      </c>
      <c r="BS38" s="1459"/>
      <c r="BT38" s="1459"/>
      <c r="BU38" s="1459"/>
      <c r="BV38" s="1459"/>
      <c r="BW38" s="1459"/>
      <c r="BX38" s="1459"/>
      <c r="BY38" s="1459"/>
      <c r="BZ38" s="1459"/>
      <c r="CA38" s="1460"/>
      <c r="CB38" s="127"/>
      <c r="CC38" s="117"/>
      <c r="CD38" s="117"/>
      <c r="CE38" s="121"/>
      <c r="CF38" s="121"/>
    </row>
    <row r="39" spans="1:84" ht="23.45" customHeight="1">
      <c r="A39" s="74"/>
      <c r="B39" s="100"/>
      <c r="C39" s="121"/>
      <c r="D39" s="121"/>
      <c r="E39" s="121"/>
      <c r="F39" s="1445"/>
      <c r="G39" s="1445"/>
      <c r="H39" s="1445"/>
      <c r="I39" s="1447"/>
      <c r="J39" s="753" t="s">
        <v>66</v>
      </c>
      <c r="K39" s="753"/>
      <c r="L39" s="753"/>
      <c r="M39" s="753"/>
      <c r="N39" s="413"/>
      <c r="O39" s="877" t="str">
        <f>IF(OR('07nen'!$R$17&gt;0,'07nen'!$Q$17="対象"),IF('07nen'!$D$17="","",'07nen'!$D$17),"")</f>
        <v/>
      </c>
      <c r="P39" s="877"/>
      <c r="Q39" s="877"/>
      <c r="R39" s="877"/>
      <c r="S39" s="877"/>
      <c r="T39" s="877"/>
      <c r="U39" s="877"/>
      <c r="V39" s="125"/>
      <c r="W39" s="125"/>
      <c r="X39" s="877" t="str">
        <f>IF(OR('07nen'!$R$17&gt;0,'07nen'!$Q$17="対象"),IF('07nen'!$E$17="","",'07nen'!$E$17),"")</f>
        <v/>
      </c>
      <c r="Y39" s="877"/>
      <c r="Z39" s="877"/>
      <c r="AA39" s="877"/>
      <c r="AB39" s="877"/>
      <c r="AC39" s="877"/>
      <c r="AD39" s="877"/>
      <c r="AE39" s="404"/>
      <c r="AF39" s="925"/>
      <c r="AG39" s="925"/>
      <c r="AH39" s="927"/>
      <c r="AI39" s="927"/>
      <c r="AJ39" s="926"/>
      <c r="AK39" s="926"/>
      <c r="AL39" s="1461"/>
      <c r="AM39" s="1461"/>
      <c r="AN39" s="1461"/>
      <c r="AO39" s="1462"/>
      <c r="AP39" s="1240" t="s">
        <v>66</v>
      </c>
      <c r="AQ39" s="1241"/>
      <c r="AR39" s="1241"/>
      <c r="AS39" s="1242"/>
      <c r="AT39" s="413"/>
      <c r="AU39" s="1243" t="str">
        <f>IF('07nen'!$Q$23="対象",IF('07nen'!$D$23="","",'07nen'!$D$23),"")</f>
        <v/>
      </c>
      <c r="AV39" s="1243"/>
      <c r="AW39" s="1243"/>
      <c r="AX39" s="1243"/>
      <c r="AY39" s="1243"/>
      <c r="AZ39" s="1243"/>
      <c r="BA39" s="1243"/>
      <c r="BB39" s="125"/>
      <c r="BC39" s="125"/>
      <c r="BD39" s="1243" t="str">
        <f>IF('07nen'!$Q$23="対象",IF('07nen'!$E$23="","",'07nen'!$E$23),"")</f>
        <v/>
      </c>
      <c r="BE39" s="1243"/>
      <c r="BF39" s="1243"/>
      <c r="BG39" s="1243"/>
      <c r="BH39" s="1243"/>
      <c r="BI39" s="1243"/>
      <c r="BJ39" s="1243"/>
      <c r="BK39" s="404"/>
      <c r="BL39" s="1450"/>
      <c r="BM39" s="1451"/>
      <c r="BN39" s="1455"/>
      <c r="BO39" s="1456"/>
      <c r="BP39" s="1456"/>
      <c r="BQ39" s="1457"/>
      <c r="BR39" s="932" t="str">
        <f>IF('07nen'!$AB$41="","",IF('07nen'!$E$61="","",IF(OR('07nen'!$R$61&gt;0,'07nen'!$Q$61="対象"),"("&amp;'07nen'!$AA$41&amp;") "&amp;RIGHTB('07nen'!$H$61+10000000000000,12))))</f>
        <v/>
      </c>
      <c r="BS39" s="933"/>
      <c r="BT39" s="933"/>
      <c r="BU39" s="933"/>
      <c r="BV39" s="933"/>
      <c r="BW39" s="933"/>
      <c r="BX39" s="933"/>
      <c r="BY39" s="933"/>
      <c r="BZ39" s="933"/>
      <c r="CA39" s="934"/>
      <c r="CB39" s="127"/>
      <c r="CC39" s="117"/>
      <c r="CD39" s="117"/>
      <c r="CE39" s="121"/>
      <c r="CF39" s="121"/>
    </row>
    <row r="40" spans="1:84" ht="24">
      <c r="A40" s="74"/>
      <c r="B40" s="100"/>
      <c r="C40" s="121"/>
      <c r="D40" s="121"/>
      <c r="E40" s="121"/>
      <c r="F40" s="1445"/>
      <c r="G40" s="1445"/>
      <c r="H40" s="1445"/>
      <c r="I40" s="1447"/>
      <c r="J40" s="929" t="s">
        <v>219</v>
      </c>
      <c r="K40" s="929"/>
      <c r="L40" s="929"/>
      <c r="M40" s="930"/>
      <c r="N40" s="931" t="str">
        <f>IF(OR('07nen'!$R$17&gt;0,'07nen'!$Q$17="対象"),IF('07nen'!$H$17="","",(MIDB('07nen'!$H$17+1000000000000,2,1))),"")</f>
        <v/>
      </c>
      <c r="O40" s="931"/>
      <c r="P40" s="931" t="str">
        <f>IF($N$40="","",(MIDB('07nen'!$H$17+1000000000000,3,1)))</f>
        <v/>
      </c>
      <c r="Q40" s="931"/>
      <c r="R40" s="931" t="str">
        <f>IF($N$40="","",(MIDB('07nen'!$H$17+1000000000000,4,1)))</f>
        <v/>
      </c>
      <c r="S40" s="931"/>
      <c r="T40" s="931" t="str">
        <f>IF($N$40="","",(MIDB('07nen'!$H$17+1000000000000,5,1)))</f>
        <v/>
      </c>
      <c r="U40" s="931"/>
      <c r="V40" s="931" t="str">
        <f>IF($N$40="","",(MIDB('07nen'!$H$17+1000000000000,6,1)))</f>
        <v/>
      </c>
      <c r="W40" s="931"/>
      <c r="X40" s="931" t="str">
        <f>IF($N$40="","",(MIDB('07nen'!$H$17+1000000000000,7,1)))</f>
        <v/>
      </c>
      <c r="Y40" s="931"/>
      <c r="Z40" s="931" t="str">
        <f>IF($N$40="","",(MIDB('07nen'!$H$17+1000000000000,8,1)))</f>
        <v/>
      </c>
      <c r="AA40" s="931"/>
      <c r="AB40" s="931" t="str">
        <f>IF($N$40="","",(MIDB('07nen'!$H$17+1000000000000,9,1)))</f>
        <v/>
      </c>
      <c r="AC40" s="931"/>
      <c r="AD40" s="931" t="str">
        <f>IF($N$40="","",(MIDB('07nen'!$H$17+1000000000000,10,1)))</f>
        <v/>
      </c>
      <c r="AE40" s="931"/>
      <c r="AF40" s="931" t="str">
        <f>IF($N$40="","",(MIDB('07nen'!$H$17+1000000000000,11,1)))</f>
        <v/>
      </c>
      <c r="AG40" s="931"/>
      <c r="AH40" s="931" t="str">
        <f>IF($N$40="","",(MIDB('07nen'!$H$17+1000000000000,12,1)))</f>
        <v/>
      </c>
      <c r="AI40" s="931"/>
      <c r="AJ40" s="931" t="str">
        <f>IF($N$40="","",(MIDB('07nen'!$H$17+1000000000000,13,1)))</f>
        <v/>
      </c>
      <c r="AK40" s="931"/>
      <c r="AL40" s="1461"/>
      <c r="AM40" s="1461"/>
      <c r="AN40" s="1461"/>
      <c r="AO40" s="1462"/>
      <c r="AP40" s="1207"/>
      <c r="AQ40" s="1208"/>
      <c r="AR40" s="1208"/>
      <c r="AS40" s="1208"/>
      <c r="AT40" s="1208"/>
      <c r="AU40" s="1208"/>
      <c r="AV40" s="1208"/>
      <c r="AW40" s="1208"/>
      <c r="AX40" s="1208"/>
      <c r="AY40" s="1208"/>
      <c r="AZ40" s="1208"/>
      <c r="BA40" s="1208"/>
      <c r="BB40" s="1208"/>
      <c r="BC40" s="1208"/>
      <c r="BD40" s="1208"/>
      <c r="BE40" s="1208"/>
      <c r="BF40" s="1208"/>
      <c r="BG40" s="1208"/>
      <c r="BH40" s="1208"/>
      <c r="BI40" s="1208"/>
      <c r="BJ40" s="1208"/>
      <c r="BK40" s="1208"/>
      <c r="BL40" s="1208"/>
      <c r="BM40" s="1208"/>
      <c r="BN40" s="1208"/>
      <c r="BO40" s="1208"/>
      <c r="BP40" s="1208"/>
      <c r="BQ40" s="1209"/>
      <c r="BR40" s="932" t="str">
        <f>IF('07nen'!$AB$42="","",IF('07nen'!$E$62="","",IF(OR('07nen'!$R$62&gt;0,'07nen'!$Q$62="対象"),"("&amp;'07nen'!$AA$42&amp;") "&amp;RIGHTB('07nen'!$H$62+10000000000000,12))))</f>
        <v/>
      </c>
      <c r="BS40" s="933"/>
      <c r="BT40" s="933"/>
      <c r="BU40" s="933"/>
      <c r="BV40" s="933"/>
      <c r="BW40" s="933"/>
      <c r="BX40" s="933"/>
      <c r="BY40" s="933"/>
      <c r="BZ40" s="933"/>
      <c r="CA40" s="934"/>
      <c r="CB40" s="127"/>
      <c r="CC40" s="117"/>
      <c r="CD40" s="117"/>
      <c r="CE40" s="121"/>
      <c r="CF40" s="121"/>
    </row>
    <row r="41" spans="1:84" ht="23.45" customHeight="1">
      <c r="A41" s="74"/>
      <c r="B41" s="100"/>
      <c r="C41" s="121"/>
      <c r="D41" s="121"/>
      <c r="E41" s="121"/>
      <c r="F41" s="1445"/>
      <c r="G41" s="1445"/>
      <c r="H41" s="1445"/>
      <c r="I41" s="1447">
        <v>2</v>
      </c>
      <c r="J41" s="920" t="s">
        <v>221</v>
      </c>
      <c r="K41" s="921"/>
      <c r="L41" s="921"/>
      <c r="M41" s="920"/>
      <c r="N41" s="409"/>
      <c r="O41" s="922" t="str">
        <f>+IF(OR('07nen'!$R$18&gt;0,'07nen'!$Q$18="対象"),IF('07nen'!$F$18="","",'07nen'!$F$18),"")</f>
        <v/>
      </c>
      <c r="P41" s="922"/>
      <c r="Q41" s="922"/>
      <c r="R41" s="922"/>
      <c r="S41" s="922"/>
      <c r="T41" s="922"/>
      <c r="U41" s="922"/>
      <c r="V41" s="410"/>
      <c r="W41" s="410"/>
      <c r="X41" s="922" t="str">
        <f>IF(OR('07nen'!$R$18&gt;0,'07nen'!$Q$18="対象"),IF('07nen'!$G$18="","",'07nen'!$G$18),"")</f>
        <v/>
      </c>
      <c r="Y41" s="922"/>
      <c r="Z41" s="922"/>
      <c r="AA41" s="922"/>
      <c r="AB41" s="922"/>
      <c r="AC41" s="922"/>
      <c r="AD41" s="922"/>
      <c r="AE41" s="411"/>
      <c r="AF41" s="923" t="s">
        <v>220</v>
      </c>
      <c r="AG41" s="924"/>
      <c r="AH41" s="926" t="str">
        <f>IF(OR('07nen'!$R$18&gt;0,'07nen'!$Q$18="対象"),IF(AND('07nen'!$R$18=0,'07nen'!$P$18="－"),"",MAX('07nen'!$R$18,'07nen'!$P$18)),"")</f>
        <v/>
      </c>
      <c r="AI41" s="926"/>
      <c r="AJ41" s="926"/>
      <c r="AK41" s="926"/>
      <c r="AL41" s="1461"/>
      <c r="AM41" s="1461"/>
      <c r="AN41" s="1461"/>
      <c r="AO41" s="1462">
        <v>2</v>
      </c>
      <c r="AP41" s="1463" t="s">
        <v>221</v>
      </c>
      <c r="AQ41" s="920"/>
      <c r="AR41" s="920"/>
      <c r="AS41" s="1464"/>
      <c r="AT41" s="412"/>
      <c r="AU41" s="922" t="str">
        <f>IF('07nen'!$Q$24="対象",IF('07nen'!$F$24="","",'07nen'!$F$24),"")</f>
        <v/>
      </c>
      <c r="AV41" s="922"/>
      <c r="AW41" s="922"/>
      <c r="AX41" s="922"/>
      <c r="AY41" s="922"/>
      <c r="AZ41" s="922"/>
      <c r="BA41" s="922"/>
      <c r="BB41" s="229"/>
      <c r="BC41" s="229"/>
      <c r="BD41" s="922" t="str">
        <f>IF('07nen'!$Q$24="対象",IF('07nen'!$G$23="","",'07nen'!$G$24),"")</f>
        <v/>
      </c>
      <c r="BE41" s="922"/>
      <c r="BF41" s="922"/>
      <c r="BG41" s="922"/>
      <c r="BH41" s="922"/>
      <c r="BI41" s="922"/>
      <c r="BJ41" s="922"/>
      <c r="BK41" s="414"/>
      <c r="BL41" s="1448" t="s">
        <v>220</v>
      </c>
      <c r="BM41" s="1449"/>
      <c r="BN41" s="1452" t="str">
        <f>IF('07nen'!$Q$24="対象",IF('07nen'!$P$24="－","",'07nen'!$P$24),"")</f>
        <v/>
      </c>
      <c r="BO41" s="1453"/>
      <c r="BP41" s="1453"/>
      <c r="BQ41" s="1454"/>
      <c r="BR41" s="932" t="str">
        <f>IF('07nen'!$AB$43="","",IF('07nen'!$E$63="","",IF(OR('07nen'!$R$63&gt;0,'07nen'!$Q$63="対象"),"("&amp;'07nen'!$AA$43&amp;") "&amp;RIGHTB('07nen'!$H$63+10000000000000,12))))</f>
        <v/>
      </c>
      <c r="BS41" s="933"/>
      <c r="BT41" s="933"/>
      <c r="BU41" s="933"/>
      <c r="BV41" s="933"/>
      <c r="BW41" s="933"/>
      <c r="BX41" s="933"/>
      <c r="BY41" s="933"/>
      <c r="BZ41" s="933"/>
      <c r="CA41" s="934"/>
      <c r="CB41" s="127"/>
      <c r="CC41" s="117"/>
      <c r="CD41" s="117"/>
      <c r="CE41" s="121"/>
      <c r="CF41" s="121"/>
    </row>
    <row r="42" spans="1:84" ht="23.45" customHeight="1">
      <c r="A42" s="74"/>
      <c r="B42" s="100"/>
      <c r="C42" s="121"/>
      <c r="D42" s="121"/>
      <c r="E42" s="121"/>
      <c r="F42" s="1445"/>
      <c r="G42" s="1445"/>
      <c r="H42" s="1445"/>
      <c r="I42" s="1447"/>
      <c r="J42" s="753" t="s">
        <v>66</v>
      </c>
      <c r="K42" s="753"/>
      <c r="L42" s="753"/>
      <c r="M42" s="753"/>
      <c r="N42" s="413"/>
      <c r="O42" s="877" t="str">
        <f>IF(OR('07nen'!$R$18&gt;0,'07nen'!$Q$18="対象"),IF('07nen'!$D$18="","",'07nen'!$D$18),"")</f>
        <v/>
      </c>
      <c r="P42" s="877"/>
      <c r="Q42" s="877"/>
      <c r="R42" s="877"/>
      <c r="S42" s="877"/>
      <c r="T42" s="877"/>
      <c r="U42" s="877"/>
      <c r="V42" s="125"/>
      <c r="W42" s="125"/>
      <c r="X42" s="877" t="str">
        <f>IF(OR('07nen'!$R$18&gt;0,'07nen'!$Q$18="対象"),IF('07nen'!$E$18="","",'07nen'!$E$18),"")</f>
        <v/>
      </c>
      <c r="Y42" s="877"/>
      <c r="Z42" s="877"/>
      <c r="AA42" s="877"/>
      <c r="AB42" s="877"/>
      <c r="AC42" s="877"/>
      <c r="AD42" s="877"/>
      <c r="AE42" s="404"/>
      <c r="AF42" s="925"/>
      <c r="AG42" s="925"/>
      <c r="AH42" s="927"/>
      <c r="AI42" s="927"/>
      <c r="AJ42" s="926"/>
      <c r="AK42" s="926"/>
      <c r="AL42" s="1461"/>
      <c r="AM42" s="1461"/>
      <c r="AN42" s="1461"/>
      <c r="AO42" s="1462"/>
      <c r="AP42" s="1240" t="s">
        <v>66</v>
      </c>
      <c r="AQ42" s="1241"/>
      <c r="AR42" s="1241"/>
      <c r="AS42" s="1242"/>
      <c r="AT42" s="413"/>
      <c r="AU42" s="1243" t="str">
        <f>IF('07nen'!$Q$24="対象",IF('07nen'!$D$24="","",'07nen'!$D$24),"")</f>
        <v/>
      </c>
      <c r="AV42" s="1243"/>
      <c r="AW42" s="1243"/>
      <c r="AX42" s="1243"/>
      <c r="AY42" s="1243"/>
      <c r="AZ42" s="1243"/>
      <c r="BA42" s="1243"/>
      <c r="BB42" s="125"/>
      <c r="BC42" s="125"/>
      <c r="BD42" s="1243" t="str">
        <f>IF('07nen'!$Q$24="対象",IF('07nen'!$E$24="","",'07nen'!$E$24),"")</f>
        <v/>
      </c>
      <c r="BE42" s="1243"/>
      <c r="BF42" s="1243"/>
      <c r="BG42" s="1243"/>
      <c r="BH42" s="1243"/>
      <c r="BI42" s="1243"/>
      <c r="BJ42" s="1243"/>
      <c r="BK42" s="404"/>
      <c r="BL42" s="1450"/>
      <c r="BM42" s="1451"/>
      <c r="BN42" s="1455"/>
      <c r="BO42" s="1456"/>
      <c r="BP42" s="1456"/>
      <c r="BQ42" s="1457"/>
      <c r="BR42" s="122"/>
      <c r="BU42" s="123"/>
      <c r="BV42" s="123"/>
      <c r="BW42" s="123"/>
      <c r="BX42" s="123"/>
      <c r="BY42" s="123"/>
      <c r="BZ42" s="123"/>
      <c r="CA42" s="230"/>
      <c r="CB42" s="127"/>
      <c r="CC42" s="117"/>
      <c r="CD42" s="117"/>
      <c r="CE42" s="121"/>
      <c r="CF42" s="121"/>
    </row>
    <row r="43" spans="1:84" ht="24">
      <c r="A43" s="74"/>
      <c r="B43" s="100"/>
      <c r="C43" s="121"/>
      <c r="D43" s="121"/>
      <c r="E43" s="121"/>
      <c r="F43" s="1445"/>
      <c r="G43" s="1445"/>
      <c r="H43" s="1445"/>
      <c r="I43" s="1447"/>
      <c r="J43" s="929" t="s">
        <v>219</v>
      </c>
      <c r="K43" s="929"/>
      <c r="L43" s="929"/>
      <c r="M43" s="930"/>
      <c r="N43" s="931" t="str">
        <f>IF(OR('07nen'!$R$18&gt;0,'07nen'!$Q$18="対象"),IF('07nen'!$H$18="","",(MIDB('07nen'!$H$18+1000000000000,2,1))),"")</f>
        <v/>
      </c>
      <c r="O43" s="931"/>
      <c r="P43" s="931" t="str">
        <f>IF($N$43="","",(MIDB('07nen'!$H$18+1000000000000,3,1)))</f>
        <v/>
      </c>
      <c r="Q43" s="931"/>
      <c r="R43" s="931" t="str">
        <f>IF($N$43="","",(MIDB('07nen'!$H$18+1000000000000,4,1)))</f>
        <v/>
      </c>
      <c r="S43" s="931"/>
      <c r="T43" s="931" t="str">
        <f>IF($N$43="","",(MIDB('07nen'!$H$18+1000000000000,5,1)))</f>
        <v/>
      </c>
      <c r="U43" s="931"/>
      <c r="V43" s="931" t="str">
        <f>IF($N$43="","",(MIDB('07nen'!$H$18+1000000000000,6,1)))</f>
        <v/>
      </c>
      <c r="W43" s="931"/>
      <c r="X43" s="931" t="str">
        <f>IF($N$43="","",(MIDB('07nen'!$H$18+1000000000000,7,1)))</f>
        <v/>
      </c>
      <c r="Y43" s="931"/>
      <c r="Z43" s="931" t="str">
        <f>IF($N$43="","",(MIDB('07nen'!$H$18+1000000000000,8,1)))</f>
        <v/>
      </c>
      <c r="AA43" s="931"/>
      <c r="AB43" s="931" t="str">
        <f>IF($N$43="","",(MIDB('07nen'!$H$18+1000000000000,9,1)))</f>
        <v/>
      </c>
      <c r="AC43" s="931"/>
      <c r="AD43" s="931" t="str">
        <f>IF($N$43="","",(MIDB('07nen'!$H$18+1000000000000,10,1)))</f>
        <v/>
      </c>
      <c r="AE43" s="931"/>
      <c r="AF43" s="931" t="str">
        <f>IF($N$43="","",(MIDB('07nen'!$H$18+1000000000000,11,1)))</f>
        <v/>
      </c>
      <c r="AG43" s="931"/>
      <c r="AH43" s="931" t="str">
        <f>IF($N$43="","",(MIDB('07nen'!$H$18+1000000000000,12,1)))</f>
        <v/>
      </c>
      <c r="AI43" s="931"/>
      <c r="AJ43" s="931" t="str">
        <f>IF($N$43="","",(MIDB('07nen'!$H$18+1000000000000,13,1)))</f>
        <v/>
      </c>
      <c r="AK43" s="931"/>
      <c r="AL43" s="1461"/>
      <c r="AM43" s="1461"/>
      <c r="AN43" s="1461"/>
      <c r="AO43" s="1462"/>
      <c r="AP43" s="1207"/>
      <c r="AQ43" s="1208"/>
      <c r="AR43" s="1208"/>
      <c r="AS43" s="1208"/>
      <c r="AT43" s="1208"/>
      <c r="AU43" s="1208"/>
      <c r="AV43" s="1208"/>
      <c r="AW43" s="1208"/>
      <c r="AX43" s="1208"/>
      <c r="AY43" s="1208"/>
      <c r="AZ43" s="1208"/>
      <c r="BA43" s="1208"/>
      <c r="BB43" s="1208"/>
      <c r="BC43" s="1208"/>
      <c r="BD43" s="1208"/>
      <c r="BE43" s="1208"/>
      <c r="BF43" s="1208"/>
      <c r="BG43" s="1208"/>
      <c r="BH43" s="1208"/>
      <c r="BI43" s="1208"/>
      <c r="BJ43" s="1208"/>
      <c r="BK43" s="1208"/>
      <c r="BL43" s="1208"/>
      <c r="BM43" s="1208"/>
      <c r="BN43" s="1208"/>
      <c r="BO43" s="1208"/>
      <c r="BP43" s="1208"/>
      <c r="BQ43" s="1209"/>
      <c r="BR43" s="122"/>
      <c r="BU43" s="123"/>
      <c r="BV43" s="123"/>
      <c r="BW43" s="123"/>
      <c r="BX43" s="123"/>
      <c r="BY43" s="123"/>
      <c r="BZ43" s="123"/>
      <c r="CA43" s="230"/>
      <c r="CB43" s="127"/>
      <c r="CC43" s="117"/>
      <c r="CD43" s="117"/>
      <c r="CE43" s="121"/>
      <c r="CF43" s="121"/>
    </row>
    <row r="44" spans="1:84" ht="23.45" customHeight="1">
      <c r="A44" s="74"/>
      <c r="B44" s="100"/>
      <c r="C44" s="121"/>
      <c r="D44" s="121"/>
      <c r="E44" s="121"/>
      <c r="F44" s="1445"/>
      <c r="G44" s="1445"/>
      <c r="H44" s="1445"/>
      <c r="I44" s="1447">
        <v>3</v>
      </c>
      <c r="J44" s="920" t="s">
        <v>221</v>
      </c>
      <c r="K44" s="920"/>
      <c r="L44" s="920"/>
      <c r="M44" s="920"/>
      <c r="N44" s="409"/>
      <c r="O44" s="922" t="str">
        <f>+IF(OR('07nen'!$R$19&gt;0,'07nen'!$Q$19="対象"),IF('07nen'!$F$19="","",'07nen'!$F$19),"")</f>
        <v/>
      </c>
      <c r="P44" s="922"/>
      <c r="Q44" s="922"/>
      <c r="R44" s="922"/>
      <c r="S44" s="922"/>
      <c r="T44" s="922"/>
      <c r="U44" s="922"/>
      <c r="V44" s="410"/>
      <c r="W44" s="410"/>
      <c r="X44" s="922" t="str">
        <f>IF(OR('07nen'!$R$19&gt;0,'07nen'!$Q$19="対象"),IF('07nen'!$G$19="","",'07nen'!$G$19),"")</f>
        <v/>
      </c>
      <c r="Y44" s="922"/>
      <c r="Z44" s="922"/>
      <c r="AA44" s="922"/>
      <c r="AB44" s="922"/>
      <c r="AC44" s="922"/>
      <c r="AD44" s="922"/>
      <c r="AE44" s="411"/>
      <c r="AF44" s="923" t="s">
        <v>220</v>
      </c>
      <c r="AG44" s="924"/>
      <c r="AH44" s="926" t="str">
        <f>IF(OR('07nen'!$R$19&gt;0,'07nen'!$Q$19="対象"),IF(AND('07nen'!$R$19=0,'07nen'!$P$19="－"),"",MAX('07nen'!$R$19,'07nen'!$P$19)),"")</f>
        <v/>
      </c>
      <c r="AI44" s="926"/>
      <c r="AJ44" s="926"/>
      <c r="AK44" s="926"/>
      <c r="AL44" s="1461"/>
      <c r="AM44" s="1461"/>
      <c r="AN44" s="1461"/>
      <c r="AO44" s="1462">
        <v>3</v>
      </c>
      <c r="AP44" s="1463" t="s">
        <v>221</v>
      </c>
      <c r="AQ44" s="920"/>
      <c r="AR44" s="920"/>
      <c r="AS44" s="1464"/>
      <c r="AT44" s="409"/>
      <c r="AU44" s="922" t="str">
        <f>IF('07nen'!$Q$25="対象",IF('07nen'!$F$25="","",'07nen'!$F$25),"")</f>
        <v/>
      </c>
      <c r="AV44" s="922"/>
      <c r="AW44" s="922"/>
      <c r="AX44" s="922"/>
      <c r="AY44" s="922"/>
      <c r="AZ44" s="922"/>
      <c r="BA44" s="922"/>
      <c r="BB44" s="410"/>
      <c r="BC44" s="410"/>
      <c r="BD44" s="922" t="str">
        <f>IF('07nen'!$Q$25="対象",IF('07nen'!$G$25="","",'07nen'!$G$25),"")</f>
        <v/>
      </c>
      <c r="BE44" s="922"/>
      <c r="BF44" s="922"/>
      <c r="BG44" s="922"/>
      <c r="BH44" s="922"/>
      <c r="BI44" s="922"/>
      <c r="BJ44" s="922"/>
      <c r="BK44" s="411"/>
      <c r="BL44" s="1448" t="s">
        <v>220</v>
      </c>
      <c r="BM44" s="1449"/>
      <c r="BN44" s="1452" t="str">
        <f>IF('07nen'!$Q$25="対象",IF('07nen'!$P$25="－","",'07nen'!$P$25),"")</f>
        <v/>
      </c>
      <c r="BO44" s="1453"/>
      <c r="BP44" s="1453"/>
      <c r="BQ44" s="1454"/>
      <c r="BR44" s="205"/>
      <c r="BS44" s="205"/>
      <c r="BT44" s="205"/>
      <c r="BU44" s="231"/>
      <c r="BV44" s="231"/>
      <c r="BW44" s="231"/>
      <c r="BX44" s="231"/>
      <c r="BY44" s="231"/>
      <c r="BZ44" s="231"/>
      <c r="CA44" s="232"/>
      <c r="CB44" s="127"/>
      <c r="CC44" s="117"/>
      <c r="CD44" s="117"/>
      <c r="CE44" s="121"/>
      <c r="CF44" s="121"/>
    </row>
    <row r="45" spans="1:84" ht="23.45" customHeight="1">
      <c r="A45" s="74"/>
      <c r="B45" s="100"/>
      <c r="C45" s="121"/>
      <c r="D45" s="121"/>
      <c r="E45" s="121"/>
      <c r="F45" s="1445"/>
      <c r="G45" s="1445"/>
      <c r="H45" s="1445"/>
      <c r="I45" s="1447"/>
      <c r="J45" s="753" t="s">
        <v>66</v>
      </c>
      <c r="K45" s="753"/>
      <c r="L45" s="753"/>
      <c r="M45" s="753"/>
      <c r="N45" s="413"/>
      <c r="O45" s="877" t="str">
        <f>IF(OR('07nen'!$R$19&gt;0,'07nen'!$Q$19="対象"),IF('07nen'!$D$19="","",'07nen'!$D$19),"")</f>
        <v/>
      </c>
      <c r="P45" s="877"/>
      <c r="Q45" s="877"/>
      <c r="R45" s="877"/>
      <c r="S45" s="877"/>
      <c r="T45" s="877"/>
      <c r="U45" s="877"/>
      <c r="V45" s="125"/>
      <c r="W45" s="125"/>
      <c r="X45" s="877" t="str">
        <f>IF(OR('07nen'!$R$19&gt;0,'07nen'!$Q$19="対象"),IF('07nen'!$E$19="","",'07nen'!$E$19),"")</f>
        <v/>
      </c>
      <c r="Y45" s="877"/>
      <c r="Z45" s="877"/>
      <c r="AA45" s="877"/>
      <c r="AB45" s="877"/>
      <c r="AC45" s="877"/>
      <c r="AD45" s="877"/>
      <c r="AE45" s="404"/>
      <c r="AF45" s="925"/>
      <c r="AG45" s="925"/>
      <c r="AH45" s="927"/>
      <c r="AI45" s="927"/>
      <c r="AJ45" s="926"/>
      <c r="AK45" s="926"/>
      <c r="AL45" s="1461"/>
      <c r="AM45" s="1461"/>
      <c r="AN45" s="1461"/>
      <c r="AO45" s="1462"/>
      <c r="AP45" s="1240" t="s">
        <v>66</v>
      </c>
      <c r="AQ45" s="1241"/>
      <c r="AR45" s="1241"/>
      <c r="AS45" s="1242"/>
      <c r="AT45" s="413"/>
      <c r="AU45" s="1243" t="str">
        <f>IF('07nen'!$Q$25="対象",IF('07nen'!$D$25="","",'07nen'!$D$25),"")</f>
        <v/>
      </c>
      <c r="AV45" s="1243"/>
      <c r="AW45" s="1243"/>
      <c r="AX45" s="1243"/>
      <c r="AY45" s="1243"/>
      <c r="AZ45" s="1243"/>
      <c r="BA45" s="1243"/>
      <c r="BB45" s="125"/>
      <c r="BC45" s="125"/>
      <c r="BD45" s="1243" t="str">
        <f>IF('07nen'!$Q$25="対象",IF('07nen'!$E$25="","",'07nen'!$E$25),"")</f>
        <v/>
      </c>
      <c r="BE45" s="1243"/>
      <c r="BF45" s="1243"/>
      <c r="BG45" s="1243"/>
      <c r="BH45" s="1243"/>
      <c r="BI45" s="1243"/>
      <c r="BJ45" s="1243"/>
      <c r="BK45" s="404"/>
      <c r="BL45" s="1450"/>
      <c r="BM45" s="1451"/>
      <c r="BN45" s="1455"/>
      <c r="BO45" s="1456"/>
      <c r="BP45" s="1456"/>
      <c r="BQ45" s="1457"/>
      <c r="BR45" s="1465"/>
      <c r="BS45" s="1465"/>
      <c r="BT45" s="1465"/>
      <c r="BU45" s="1465"/>
      <c r="BV45" s="1465"/>
      <c r="BW45" s="1465"/>
      <c r="BX45" s="1465"/>
      <c r="BY45" s="1465"/>
      <c r="BZ45" s="1465"/>
      <c r="CA45" s="1466"/>
      <c r="CB45" s="127"/>
      <c r="CC45" s="117"/>
      <c r="CD45" s="117"/>
      <c r="CE45" s="121"/>
      <c r="CF45" s="121"/>
    </row>
    <row r="46" spans="1:84" ht="24">
      <c r="A46" s="74"/>
      <c r="B46" s="100"/>
      <c r="C46" s="121"/>
      <c r="D46" s="121"/>
      <c r="E46" s="121"/>
      <c r="F46" s="1445"/>
      <c r="G46" s="1445"/>
      <c r="H46" s="1445"/>
      <c r="I46" s="1447"/>
      <c r="J46" s="929" t="s">
        <v>219</v>
      </c>
      <c r="K46" s="929"/>
      <c r="L46" s="929"/>
      <c r="M46" s="930"/>
      <c r="N46" s="931" t="str">
        <f>IF(OR('07nen'!$R$19&gt;0,'07nen'!$Q$19="対象"),IF('07nen'!$H$19="","",(MIDB('07nen'!$H$19+1000000000000,2,1))),"")</f>
        <v/>
      </c>
      <c r="O46" s="931"/>
      <c r="P46" s="931" t="str">
        <f>IF($N$46="","",(MIDB('07nen'!$H$19+1000000000000,3,1)))</f>
        <v/>
      </c>
      <c r="Q46" s="931"/>
      <c r="R46" s="931" t="str">
        <f>IF($N$46="","",(MIDB('07nen'!$H$19+1000000000000,4,1)))</f>
        <v/>
      </c>
      <c r="S46" s="931"/>
      <c r="T46" s="931" t="str">
        <f>IF($N$46="","",(MIDB('07nen'!$H$19+1000000000000,5,1)))</f>
        <v/>
      </c>
      <c r="U46" s="931"/>
      <c r="V46" s="931" t="str">
        <f>IF($N$46="","",(MIDB('07nen'!$H$19+1000000000000,6,1)))</f>
        <v/>
      </c>
      <c r="W46" s="931"/>
      <c r="X46" s="931" t="str">
        <f>IF($N$46="","",(MIDB('07nen'!$H$19+1000000000000,7,1)))</f>
        <v/>
      </c>
      <c r="Y46" s="931"/>
      <c r="Z46" s="931" t="str">
        <f>IF($N$46="","",(MIDB('07nen'!$H$19+1000000000000,8,1)))</f>
        <v/>
      </c>
      <c r="AA46" s="931"/>
      <c r="AB46" s="931" t="str">
        <f>IF($N$46="","",(MIDB('07nen'!$H$19+1000000000000,9,1)))</f>
        <v/>
      </c>
      <c r="AC46" s="931"/>
      <c r="AD46" s="931" t="str">
        <f>IF($N$46="","",(MIDB('07nen'!$H$19+1000000000000,10,1)))</f>
        <v/>
      </c>
      <c r="AE46" s="931"/>
      <c r="AF46" s="931" t="str">
        <f>IF($N$46="","",(MIDB('07nen'!$H$19+1000000000000,11,1)))</f>
        <v/>
      </c>
      <c r="AG46" s="931"/>
      <c r="AH46" s="931" t="str">
        <f>IF($N$46="","",(MIDB('07nen'!$H$19+1000000000000,12,1)))</f>
        <v/>
      </c>
      <c r="AI46" s="931"/>
      <c r="AJ46" s="931" t="str">
        <f>IF($N$46="","",(MIDB('07nen'!$H$19+1000000000000,13,1)))</f>
        <v/>
      </c>
      <c r="AK46" s="931"/>
      <c r="AL46" s="1461"/>
      <c r="AM46" s="1461"/>
      <c r="AN46" s="1461"/>
      <c r="AO46" s="1462"/>
      <c r="AP46" s="1207"/>
      <c r="AQ46" s="1208"/>
      <c r="AR46" s="1208"/>
      <c r="AS46" s="1208"/>
      <c r="AT46" s="1208"/>
      <c r="AU46" s="1208"/>
      <c r="AV46" s="1208"/>
      <c r="AW46" s="1208"/>
      <c r="AX46" s="1208"/>
      <c r="AY46" s="1208"/>
      <c r="AZ46" s="1208"/>
      <c r="BA46" s="1208"/>
      <c r="BB46" s="1208"/>
      <c r="BC46" s="1208"/>
      <c r="BD46" s="1208"/>
      <c r="BE46" s="1208"/>
      <c r="BF46" s="1208"/>
      <c r="BG46" s="1208"/>
      <c r="BH46" s="1208"/>
      <c r="BI46" s="1208"/>
      <c r="BJ46" s="1208"/>
      <c r="BK46" s="1208"/>
      <c r="BL46" s="1208"/>
      <c r="BM46" s="1208"/>
      <c r="BN46" s="1208"/>
      <c r="BO46" s="1208"/>
      <c r="BP46" s="1208"/>
      <c r="BQ46" s="1209"/>
      <c r="BR46" s="1467"/>
      <c r="BS46" s="1467"/>
      <c r="BT46" s="1467"/>
      <c r="BU46" s="1467"/>
      <c r="BV46" s="1467"/>
      <c r="BW46" s="1467"/>
      <c r="BX46" s="1467"/>
      <c r="BY46" s="1467"/>
      <c r="BZ46" s="1467"/>
      <c r="CA46" s="1468"/>
      <c r="CB46" s="127"/>
      <c r="CC46" s="117"/>
      <c r="CD46" s="117"/>
      <c r="CE46" s="121"/>
      <c r="CF46" s="121"/>
    </row>
    <row r="47" spans="1:84" ht="23.45" customHeight="1">
      <c r="A47" s="74"/>
      <c r="B47" s="100"/>
      <c r="C47" s="121"/>
      <c r="D47" s="121"/>
      <c r="E47" s="121"/>
      <c r="F47" s="1445"/>
      <c r="G47" s="1445"/>
      <c r="H47" s="1445"/>
      <c r="I47" s="1447">
        <v>4</v>
      </c>
      <c r="J47" s="920" t="s">
        <v>221</v>
      </c>
      <c r="K47" s="920"/>
      <c r="L47" s="920"/>
      <c r="M47" s="920"/>
      <c r="N47" s="409"/>
      <c r="O47" s="922" t="str">
        <f>+IF(OR('07nen'!$R$20&gt;0,'07nen'!$Q$20="対象"),IF('07nen'!$F$20="","",'07nen'!$F$20),"")</f>
        <v/>
      </c>
      <c r="P47" s="922"/>
      <c r="Q47" s="922"/>
      <c r="R47" s="922"/>
      <c r="S47" s="922"/>
      <c r="T47" s="922"/>
      <c r="U47" s="922"/>
      <c r="V47" s="410"/>
      <c r="W47" s="410"/>
      <c r="X47" s="922" t="str">
        <f>IF(OR('07nen'!$R$20&gt;0,'07nen'!$Q$20="対象"),IF('07nen'!$G$20="","",'07nen'!$G$20),"")</f>
        <v/>
      </c>
      <c r="Y47" s="922"/>
      <c r="Z47" s="922"/>
      <c r="AA47" s="922"/>
      <c r="AB47" s="922"/>
      <c r="AC47" s="922"/>
      <c r="AD47" s="922"/>
      <c r="AE47" s="411"/>
      <c r="AF47" s="923" t="s">
        <v>220</v>
      </c>
      <c r="AG47" s="924"/>
      <c r="AH47" s="926" t="str">
        <f>IF(OR('07nen'!$R$20&gt;0,'07nen'!$Q$20="対象"),IF(AND('07nen'!$R$20=0,'07nen'!$P$20="－"),"",MAX('07nen'!$R$20,'07nen'!$P$20)),"")</f>
        <v/>
      </c>
      <c r="AI47" s="926"/>
      <c r="AJ47" s="926"/>
      <c r="AK47" s="926"/>
      <c r="AL47" s="1461"/>
      <c r="AM47" s="1461"/>
      <c r="AN47" s="1461"/>
      <c r="AO47" s="1462">
        <v>4</v>
      </c>
      <c r="AP47" s="1463" t="s">
        <v>221</v>
      </c>
      <c r="AQ47" s="920"/>
      <c r="AR47" s="920"/>
      <c r="AS47" s="1464"/>
      <c r="AT47" s="409"/>
      <c r="AU47" s="922" t="str">
        <f>IF('07nen'!$Q$26="対象",IF('07nen'!$F$26="","",'07nen'!$F$26),"")</f>
        <v/>
      </c>
      <c r="AV47" s="922"/>
      <c r="AW47" s="922"/>
      <c r="AX47" s="922"/>
      <c r="AY47" s="922"/>
      <c r="AZ47" s="922"/>
      <c r="BA47" s="922"/>
      <c r="BB47" s="410"/>
      <c r="BC47" s="410"/>
      <c r="BD47" s="922" t="str">
        <f>IF('07nen'!$Q$26="対象",IF('07nen'!$G$26="","",'07nen'!$G$26),"")</f>
        <v/>
      </c>
      <c r="BE47" s="922"/>
      <c r="BF47" s="922"/>
      <c r="BG47" s="922"/>
      <c r="BH47" s="922"/>
      <c r="BI47" s="922"/>
      <c r="BJ47" s="922"/>
      <c r="BK47" s="411"/>
      <c r="BL47" s="1448" t="s">
        <v>220</v>
      </c>
      <c r="BM47" s="1449"/>
      <c r="BN47" s="1452" t="str">
        <f>IF('07nen'!$Q$26="対象",IF('07nen'!$P$26="－","",'07nen'!$P$26),"")</f>
        <v/>
      </c>
      <c r="BO47" s="1453"/>
      <c r="BP47" s="1453"/>
      <c r="BQ47" s="1454"/>
      <c r="BR47" s="1467"/>
      <c r="BS47" s="1467"/>
      <c r="BT47" s="1467"/>
      <c r="BU47" s="1467"/>
      <c r="BV47" s="1467"/>
      <c r="BW47" s="1467"/>
      <c r="BX47" s="1467"/>
      <c r="BY47" s="1467"/>
      <c r="BZ47" s="1467"/>
      <c r="CA47" s="1468"/>
      <c r="CB47" s="127"/>
      <c r="CC47" s="117"/>
      <c r="CD47" s="117"/>
      <c r="CE47" s="121"/>
      <c r="CF47" s="121"/>
    </row>
    <row r="48" spans="1:84" ht="23.45" customHeight="1">
      <c r="A48" s="74"/>
      <c r="B48" s="100"/>
      <c r="C48" s="121"/>
      <c r="D48" s="121"/>
      <c r="E48" s="121"/>
      <c r="F48" s="1445"/>
      <c r="G48" s="1445"/>
      <c r="H48" s="1445"/>
      <c r="I48" s="1447"/>
      <c r="J48" s="753" t="s">
        <v>66</v>
      </c>
      <c r="K48" s="753"/>
      <c r="L48" s="753"/>
      <c r="M48" s="753"/>
      <c r="N48" s="413"/>
      <c r="O48" s="877" t="str">
        <f>IF(OR('07nen'!$R$20&gt;0,'07nen'!$Q$20="対象"),IF('07nen'!$D$20="","",'07nen'!$D$20),"")</f>
        <v/>
      </c>
      <c r="P48" s="877"/>
      <c r="Q48" s="877"/>
      <c r="R48" s="877"/>
      <c r="S48" s="877"/>
      <c r="T48" s="877"/>
      <c r="U48" s="877"/>
      <c r="V48" s="125"/>
      <c r="W48" s="125"/>
      <c r="X48" s="877" t="str">
        <f>IF(OR('07nen'!$R$20&gt;0,'07nen'!$Q$20="対象"),IF('07nen'!$E$20="","",'07nen'!$E$20),"")</f>
        <v/>
      </c>
      <c r="Y48" s="877"/>
      <c r="Z48" s="877"/>
      <c r="AA48" s="877"/>
      <c r="AB48" s="877"/>
      <c r="AC48" s="877"/>
      <c r="AD48" s="877"/>
      <c r="AE48" s="404"/>
      <c r="AF48" s="925"/>
      <c r="AG48" s="925"/>
      <c r="AH48" s="927"/>
      <c r="AI48" s="927"/>
      <c r="AJ48" s="926"/>
      <c r="AK48" s="926"/>
      <c r="AL48" s="1461"/>
      <c r="AM48" s="1461"/>
      <c r="AN48" s="1461"/>
      <c r="AO48" s="1462"/>
      <c r="AP48" s="1240" t="s">
        <v>66</v>
      </c>
      <c r="AQ48" s="1241"/>
      <c r="AR48" s="1241"/>
      <c r="AS48" s="1242"/>
      <c r="AT48" s="413"/>
      <c r="AU48" s="1243" t="str">
        <f>IF('07nen'!$Q$26="対象",IF('07nen'!$D$26="","",'07nen'!$D$26),"")</f>
        <v/>
      </c>
      <c r="AV48" s="1243"/>
      <c r="AW48" s="1243"/>
      <c r="AX48" s="1243"/>
      <c r="AY48" s="1243"/>
      <c r="AZ48" s="1243"/>
      <c r="BA48" s="1243"/>
      <c r="BB48" s="125"/>
      <c r="BC48" s="125"/>
      <c r="BD48" s="1243" t="str">
        <f>IF('07nen'!$Q$26="対象",IF('07nen'!$E$26="","",'07nen'!$E$26),"")</f>
        <v/>
      </c>
      <c r="BE48" s="1243"/>
      <c r="BF48" s="1243"/>
      <c r="BG48" s="1243"/>
      <c r="BH48" s="1243"/>
      <c r="BI48" s="1243"/>
      <c r="BJ48" s="1243"/>
      <c r="BK48" s="404"/>
      <c r="BL48" s="1450"/>
      <c r="BM48" s="1451"/>
      <c r="BN48" s="1455"/>
      <c r="BO48" s="1456"/>
      <c r="BP48" s="1456"/>
      <c r="BQ48" s="1457"/>
      <c r="BR48" s="1467"/>
      <c r="BS48" s="1467"/>
      <c r="BT48" s="1467"/>
      <c r="BU48" s="1467"/>
      <c r="BV48" s="1467"/>
      <c r="BW48" s="1467"/>
      <c r="BX48" s="1467"/>
      <c r="BY48" s="1467"/>
      <c r="BZ48" s="1467"/>
      <c r="CA48" s="1468"/>
      <c r="CB48" s="127"/>
      <c r="CC48" s="117"/>
      <c r="CD48" s="117"/>
      <c r="CE48" s="121"/>
      <c r="CF48" s="121"/>
    </row>
    <row r="49" spans="1:84" ht="24">
      <c r="A49" s="74"/>
      <c r="B49" s="100"/>
      <c r="C49" s="121"/>
      <c r="F49" s="1445"/>
      <c r="G49" s="1445"/>
      <c r="H49" s="1445"/>
      <c r="I49" s="1447"/>
      <c r="J49" s="929" t="s">
        <v>219</v>
      </c>
      <c r="K49" s="929"/>
      <c r="L49" s="929"/>
      <c r="M49" s="930"/>
      <c r="N49" s="931" t="str">
        <f>IF(OR('07nen'!$R$20&gt;0,'07nen'!$Q$20="対象"),IF('07nen'!$H$20="","",(MIDB('07nen'!$H$20+1000000000000,2,1))),"")</f>
        <v/>
      </c>
      <c r="O49" s="931"/>
      <c r="P49" s="931" t="str">
        <f>IF($N$49="","",(MIDB('07nen'!$H$20+1000000000000,3,1)))</f>
        <v/>
      </c>
      <c r="Q49" s="931"/>
      <c r="R49" s="931" t="str">
        <f>IF($N$49="","",(MIDB('07nen'!$H$20+1000000000000,4,1)))</f>
        <v/>
      </c>
      <c r="S49" s="931"/>
      <c r="T49" s="931" t="str">
        <f>IF($N$49="","",(MIDB('07nen'!$H$20+1000000000000,5,1)))</f>
        <v/>
      </c>
      <c r="U49" s="950"/>
      <c r="V49" s="950" t="str">
        <f>IF($N$49="","",(MIDB('07nen'!$H$20+1000000000000,6,1)))</f>
        <v/>
      </c>
      <c r="W49" s="950"/>
      <c r="X49" s="950" t="str">
        <f>IF($N$49="","",(MIDB('07nen'!$H$20+1000000000000,7,1)))</f>
        <v/>
      </c>
      <c r="Y49" s="950"/>
      <c r="Z49" s="950" t="str">
        <f>IF($N$49="","",(MIDB('07nen'!$H$20+1000000000000,8,1)))</f>
        <v/>
      </c>
      <c r="AA49" s="950"/>
      <c r="AB49" s="950" t="str">
        <f>IF($N$49="","",(MIDB('07nen'!$H$20+1000000000000,9,1)))</f>
        <v/>
      </c>
      <c r="AC49" s="950"/>
      <c r="AD49" s="950" t="str">
        <f>IF($N$49="","",(MIDB('07nen'!$H$20+1000000000000,10,1)))</f>
        <v/>
      </c>
      <c r="AE49" s="950"/>
      <c r="AF49" s="950" t="str">
        <f>IF($N$49="","",(MIDB('07nen'!$H$20+1000000000000,11,1)))</f>
        <v/>
      </c>
      <c r="AG49" s="950"/>
      <c r="AH49" s="950" t="str">
        <f>IF($N$49="","",(MIDB('07nen'!$H$20+1000000000000,12,1)))</f>
        <v/>
      </c>
      <c r="AI49" s="950"/>
      <c r="AJ49" s="950" t="str">
        <f>IF($N$49="","",(MIDB('07nen'!$H$20+1000000000000,13,1)))</f>
        <v/>
      </c>
      <c r="AK49" s="950"/>
      <c r="AL49" s="1461"/>
      <c r="AM49" s="1461"/>
      <c r="AN49" s="1461"/>
      <c r="AO49" s="1462"/>
      <c r="AP49" s="1207"/>
      <c r="AQ49" s="1208"/>
      <c r="AR49" s="1208"/>
      <c r="AS49" s="1208"/>
      <c r="AT49" s="1208"/>
      <c r="AU49" s="1208"/>
      <c r="AV49" s="1208"/>
      <c r="AW49" s="1208"/>
      <c r="AX49" s="1208"/>
      <c r="AY49" s="1208"/>
      <c r="AZ49" s="1208"/>
      <c r="BA49" s="1208"/>
      <c r="BB49" s="1208"/>
      <c r="BC49" s="1208"/>
      <c r="BD49" s="1208"/>
      <c r="BE49" s="1208"/>
      <c r="BF49" s="1208"/>
      <c r="BG49" s="1208"/>
      <c r="BH49" s="1208"/>
      <c r="BI49" s="1208"/>
      <c r="BJ49" s="1208"/>
      <c r="BK49" s="1208"/>
      <c r="BL49" s="1208"/>
      <c r="BM49" s="1208"/>
      <c r="BN49" s="1208"/>
      <c r="BO49" s="1208"/>
      <c r="BP49" s="1208"/>
      <c r="BQ49" s="1209"/>
      <c r="BR49" s="1467"/>
      <c r="BS49" s="1467"/>
      <c r="BT49" s="1467"/>
      <c r="BU49" s="1467"/>
      <c r="BV49" s="1467"/>
      <c r="BW49" s="1467"/>
      <c r="BX49" s="1467"/>
      <c r="BY49" s="1467"/>
      <c r="BZ49" s="1467"/>
      <c r="CA49" s="1468"/>
      <c r="CB49" s="127"/>
      <c r="CC49" s="117"/>
      <c r="CD49" s="117"/>
      <c r="CE49" s="121"/>
      <c r="CF49" s="121"/>
    </row>
    <row r="50" spans="1:84" ht="23.45" customHeight="1">
      <c r="A50" s="74"/>
      <c r="B50" s="121"/>
      <c r="C50" s="121"/>
      <c r="F50" s="1469" t="s">
        <v>349</v>
      </c>
      <c r="G50" s="1469"/>
      <c r="H50" s="1469"/>
      <c r="I50" s="1470" t="s">
        <v>199</v>
      </c>
      <c r="J50" s="1470"/>
      <c r="K50" s="1470"/>
      <c r="L50" s="1469" t="s">
        <v>350</v>
      </c>
      <c r="M50" s="1469"/>
      <c r="N50" s="1469"/>
      <c r="O50" s="1470" t="s">
        <v>129</v>
      </c>
      <c r="P50" s="1470"/>
      <c r="Q50" s="1470"/>
      <c r="R50" s="1471" t="s">
        <v>128</v>
      </c>
      <c r="S50" s="1471"/>
      <c r="T50" s="1471"/>
      <c r="U50" s="1472" t="s">
        <v>57</v>
      </c>
      <c r="V50" s="1472"/>
      <c r="W50" s="1472"/>
      <c r="X50" s="1472"/>
      <c r="Y50" s="1472"/>
      <c r="Z50" s="1472"/>
      <c r="AA50" s="1474" t="s">
        <v>345</v>
      </c>
      <c r="AB50" s="1474"/>
      <c r="AC50" s="1474"/>
      <c r="AD50" s="1469" t="s">
        <v>322</v>
      </c>
      <c r="AE50" s="1469"/>
      <c r="AF50" s="1469"/>
      <c r="AG50" s="1469" t="s">
        <v>346</v>
      </c>
      <c r="AH50" s="1469"/>
      <c r="AI50" s="1469"/>
      <c r="AJ50" s="1475"/>
      <c r="AK50" s="1475"/>
      <c r="AL50" s="1475"/>
      <c r="AM50" s="1309" t="s">
        <v>369</v>
      </c>
      <c r="AN50" s="1089"/>
      <c r="AO50" s="1089"/>
      <c r="AP50" s="1089"/>
      <c r="AQ50" s="1089"/>
      <c r="AR50" s="1089"/>
      <c r="AS50" s="1089"/>
      <c r="AT50" s="1089"/>
      <c r="AU50" s="1089"/>
      <c r="AV50" s="1089"/>
      <c r="AW50" s="1089"/>
      <c r="AX50" s="1089"/>
      <c r="AY50" s="1089"/>
      <c r="AZ50" s="1089"/>
      <c r="BA50" s="1089"/>
      <c r="BB50" s="1089"/>
      <c r="BC50" s="1089"/>
      <c r="BD50" s="1089"/>
      <c r="BE50" s="1315" t="s">
        <v>58</v>
      </c>
      <c r="BF50" s="1315"/>
      <c r="BG50" s="1315"/>
      <c r="BH50" s="1315"/>
      <c r="BI50" s="1315"/>
      <c r="BJ50" s="1315"/>
      <c r="BK50" s="1315"/>
      <c r="BL50" s="1315"/>
      <c r="BM50" s="1315"/>
      <c r="BN50" s="1315"/>
      <c r="BO50" s="1315"/>
      <c r="BP50" s="1315"/>
      <c r="BQ50" s="1315"/>
      <c r="BR50" s="1315"/>
      <c r="BS50" s="1315"/>
      <c r="BT50" s="1315"/>
      <c r="BU50" s="1315"/>
      <c r="BV50" s="1315"/>
      <c r="BW50" s="1315"/>
      <c r="BX50" s="1315"/>
      <c r="BY50" s="1315"/>
      <c r="BZ50" s="1315"/>
      <c r="CA50" s="1315"/>
      <c r="CB50" s="127"/>
      <c r="CC50" s="117"/>
      <c r="CD50" s="117"/>
      <c r="CE50" s="121"/>
      <c r="CF50" s="121"/>
    </row>
    <row r="51" spans="1:84" s="257" customFormat="1" ht="12" customHeight="1">
      <c r="A51" s="255"/>
      <c r="B51" s="258"/>
      <c r="C51" s="258"/>
      <c r="F51" s="1469"/>
      <c r="G51" s="1469"/>
      <c r="H51" s="1469"/>
      <c r="I51" s="1470"/>
      <c r="J51" s="1470"/>
      <c r="K51" s="1470"/>
      <c r="L51" s="1469"/>
      <c r="M51" s="1469"/>
      <c r="N51" s="1469"/>
      <c r="O51" s="1470"/>
      <c r="P51" s="1470"/>
      <c r="Q51" s="1470"/>
      <c r="R51" s="1471"/>
      <c r="S51" s="1471"/>
      <c r="T51" s="1471"/>
      <c r="U51" s="1471" t="s">
        <v>262</v>
      </c>
      <c r="V51" s="1471"/>
      <c r="W51" s="1471"/>
      <c r="X51" s="1469" t="s">
        <v>110</v>
      </c>
      <c r="Y51" s="1469"/>
      <c r="Z51" s="1469"/>
      <c r="AA51" s="1474"/>
      <c r="AB51" s="1474"/>
      <c r="AC51" s="1474"/>
      <c r="AD51" s="1469"/>
      <c r="AE51" s="1469"/>
      <c r="AF51" s="1469"/>
      <c r="AG51" s="1469"/>
      <c r="AH51" s="1469"/>
      <c r="AI51" s="1469"/>
      <c r="AJ51" s="1475"/>
      <c r="AK51" s="1475"/>
      <c r="AL51" s="1475"/>
      <c r="AM51" s="725"/>
      <c r="AN51" s="726"/>
      <c r="AO51" s="726"/>
      <c r="AP51" s="726"/>
      <c r="AQ51" s="726"/>
      <c r="AR51" s="726"/>
      <c r="AS51" s="726"/>
      <c r="AT51" s="726"/>
      <c r="AU51" s="726"/>
      <c r="AV51" s="726"/>
      <c r="AW51" s="726"/>
      <c r="AX51" s="726"/>
      <c r="AY51" s="726"/>
      <c r="AZ51" s="726"/>
      <c r="BA51" s="726"/>
      <c r="BB51" s="726"/>
      <c r="BC51" s="726"/>
      <c r="BD51" s="726"/>
      <c r="BE51" s="1315"/>
      <c r="BF51" s="1315"/>
      <c r="BG51" s="1315"/>
      <c r="BH51" s="1315"/>
      <c r="BI51" s="1315"/>
      <c r="BJ51" s="1315"/>
      <c r="BK51" s="1315"/>
      <c r="BL51" s="1315"/>
      <c r="BM51" s="1315"/>
      <c r="BN51" s="1315"/>
      <c r="BO51" s="1315"/>
      <c r="BP51" s="1315"/>
      <c r="BQ51" s="1315"/>
      <c r="BR51" s="1315"/>
      <c r="BS51" s="1315"/>
      <c r="BT51" s="1315"/>
      <c r="BU51" s="1315"/>
      <c r="BV51" s="1315"/>
      <c r="BW51" s="1315"/>
      <c r="BX51" s="1315"/>
      <c r="BY51" s="1315"/>
      <c r="BZ51" s="1315"/>
      <c r="CA51" s="1315"/>
      <c r="CB51" s="259"/>
      <c r="CC51" s="260"/>
      <c r="CD51" s="260"/>
      <c r="CE51" s="258"/>
      <c r="CF51" s="258"/>
    </row>
    <row r="52" spans="1:84" s="257" customFormat="1" ht="12" customHeight="1">
      <c r="A52" s="255"/>
      <c r="B52" s="258"/>
      <c r="C52" s="258"/>
      <c r="E52" s="261"/>
      <c r="F52" s="1469"/>
      <c r="G52" s="1469"/>
      <c r="H52" s="1469"/>
      <c r="I52" s="1470"/>
      <c r="J52" s="1470"/>
      <c r="K52" s="1470"/>
      <c r="L52" s="1469"/>
      <c r="M52" s="1469"/>
      <c r="N52" s="1469"/>
      <c r="O52" s="1470"/>
      <c r="P52" s="1470"/>
      <c r="Q52" s="1470"/>
      <c r="R52" s="1471"/>
      <c r="S52" s="1471"/>
      <c r="T52" s="1471"/>
      <c r="U52" s="1471"/>
      <c r="V52" s="1471"/>
      <c r="W52" s="1471"/>
      <c r="X52" s="1469"/>
      <c r="Y52" s="1469"/>
      <c r="Z52" s="1469"/>
      <c r="AA52" s="1474"/>
      <c r="AB52" s="1474"/>
      <c r="AC52" s="1474"/>
      <c r="AD52" s="1469"/>
      <c r="AE52" s="1469"/>
      <c r="AF52" s="1469"/>
      <c r="AG52" s="1469"/>
      <c r="AH52" s="1469"/>
      <c r="AI52" s="1469"/>
      <c r="AJ52" s="1475"/>
      <c r="AK52" s="1475"/>
      <c r="AL52" s="1475"/>
      <c r="AM52" s="1310"/>
      <c r="AN52" s="1311"/>
      <c r="AO52" s="1311"/>
      <c r="AP52" s="1311"/>
      <c r="AQ52" s="1311"/>
      <c r="AR52" s="1311"/>
      <c r="AS52" s="1311"/>
      <c r="AT52" s="1311"/>
      <c r="AU52" s="1311"/>
      <c r="AV52" s="1311"/>
      <c r="AW52" s="1311"/>
      <c r="AX52" s="1311"/>
      <c r="AY52" s="1311"/>
      <c r="AZ52" s="1311"/>
      <c r="BA52" s="1311"/>
      <c r="BB52" s="1311"/>
      <c r="BC52" s="1311"/>
      <c r="BD52" s="1311"/>
      <c r="BE52" s="1315"/>
      <c r="BF52" s="1315"/>
      <c r="BG52" s="1315"/>
      <c r="BH52" s="1315"/>
      <c r="BI52" s="1315"/>
      <c r="BJ52" s="1315"/>
      <c r="BK52" s="1315"/>
      <c r="BL52" s="1315"/>
      <c r="BM52" s="1315"/>
      <c r="BN52" s="1315"/>
      <c r="BO52" s="1315"/>
      <c r="BP52" s="1315"/>
      <c r="BQ52" s="1315"/>
      <c r="BR52" s="1315"/>
      <c r="BS52" s="1315"/>
      <c r="BT52" s="1315"/>
      <c r="BU52" s="1315"/>
      <c r="BV52" s="1315"/>
      <c r="BW52" s="1315"/>
      <c r="BX52" s="1315"/>
      <c r="BY52" s="1315"/>
      <c r="BZ52" s="1315"/>
      <c r="CA52" s="1315"/>
      <c r="CB52" s="259"/>
      <c r="CC52" s="260"/>
      <c r="CD52" s="260"/>
      <c r="CE52" s="258"/>
      <c r="CF52" s="258"/>
    </row>
    <row r="53" spans="1:84" ht="21" customHeight="1">
      <c r="A53" s="254"/>
      <c r="B53" s="121"/>
      <c r="C53" s="121"/>
      <c r="D53" s="965" t="s">
        <v>258</v>
      </c>
      <c r="E53" s="1477"/>
      <c r="F53" s="1469"/>
      <c r="G53" s="1469"/>
      <c r="H53" s="1469"/>
      <c r="I53" s="1470"/>
      <c r="J53" s="1470"/>
      <c r="K53" s="1470"/>
      <c r="L53" s="1469"/>
      <c r="M53" s="1469"/>
      <c r="N53" s="1469"/>
      <c r="O53" s="1470"/>
      <c r="P53" s="1470"/>
      <c r="Q53" s="1470"/>
      <c r="R53" s="1471"/>
      <c r="S53" s="1471"/>
      <c r="T53" s="1471"/>
      <c r="U53" s="1471"/>
      <c r="V53" s="1471"/>
      <c r="W53" s="1471"/>
      <c r="X53" s="1469"/>
      <c r="Y53" s="1469"/>
      <c r="Z53" s="1469"/>
      <c r="AA53" s="1474"/>
      <c r="AB53" s="1474"/>
      <c r="AC53" s="1474"/>
      <c r="AD53" s="1469"/>
      <c r="AE53" s="1469"/>
      <c r="AF53" s="1469"/>
      <c r="AG53" s="1469"/>
      <c r="AH53" s="1469"/>
      <c r="AI53" s="1469"/>
      <c r="AJ53" s="1475"/>
      <c r="AK53" s="1475"/>
      <c r="AL53" s="1475"/>
      <c r="AM53" s="1316" t="s">
        <v>59</v>
      </c>
      <c r="AN53" s="1317"/>
      <c r="AO53" s="1318"/>
      <c r="AP53" s="1316" t="s">
        <v>60</v>
      </c>
      <c r="AQ53" s="1317"/>
      <c r="AR53" s="1318"/>
      <c r="AS53" s="1316" t="s">
        <v>61</v>
      </c>
      <c r="AT53" s="1317"/>
      <c r="AU53" s="1317"/>
      <c r="AV53" s="1318"/>
      <c r="AW53" s="1316" t="s">
        <v>62</v>
      </c>
      <c r="AX53" s="1317"/>
      <c r="AY53" s="1317"/>
      <c r="AZ53" s="1318"/>
      <c r="BA53" s="1316" t="s">
        <v>63</v>
      </c>
      <c r="BB53" s="1317"/>
      <c r="BC53" s="1317"/>
      <c r="BD53" s="1318"/>
      <c r="BE53" s="1316" t="s">
        <v>359</v>
      </c>
      <c r="BF53" s="1317"/>
      <c r="BG53" s="1317"/>
      <c r="BH53" s="1317"/>
      <c r="BI53" s="1317"/>
      <c r="BJ53" s="1317"/>
      <c r="BK53" s="1317"/>
      <c r="BL53" s="1317"/>
      <c r="BM53" s="1317"/>
      <c r="BN53" s="1317"/>
      <c r="BO53" s="1318"/>
      <c r="BP53" s="1316" t="s">
        <v>130</v>
      </c>
      <c r="BQ53" s="1317"/>
      <c r="BR53" s="1317"/>
      <c r="BS53" s="1318"/>
      <c r="BT53" s="1316" t="s">
        <v>131</v>
      </c>
      <c r="BU53" s="1317"/>
      <c r="BV53" s="1317"/>
      <c r="BW53" s="1318"/>
      <c r="BX53" s="1316" t="s">
        <v>63</v>
      </c>
      <c r="BY53" s="1317"/>
      <c r="BZ53" s="1317"/>
      <c r="CA53" s="1318"/>
      <c r="CB53" s="127"/>
      <c r="CC53" s="117"/>
      <c r="CD53" s="117"/>
      <c r="CE53" s="121"/>
      <c r="CF53" s="121"/>
    </row>
    <row r="54" spans="1:84" ht="24">
      <c r="A54" s="74"/>
      <c r="B54" s="121"/>
      <c r="C54" s="121"/>
      <c r="D54" s="965"/>
      <c r="E54" s="1477"/>
      <c r="F54" s="1473" t="str">
        <f>IF('07nen'!$C$36="○","○","")</f>
        <v/>
      </c>
      <c r="G54" s="1473"/>
      <c r="H54" s="1473"/>
      <c r="I54" s="1473" t="str">
        <f>IF('07nen'!$E$37="○","○","")</f>
        <v/>
      </c>
      <c r="J54" s="1473"/>
      <c r="K54" s="1473"/>
      <c r="L54" s="1473" t="str">
        <f>IF('07nen'!$C$37="○","○","")</f>
        <v/>
      </c>
      <c r="M54" s="1473"/>
      <c r="N54" s="1473"/>
      <c r="O54" s="1473" t="str">
        <f>IF('07nen'!$E$36="○","○","")</f>
        <v/>
      </c>
      <c r="P54" s="1473"/>
      <c r="Q54" s="1473"/>
      <c r="R54" s="1473" t="str">
        <f>IF('07nen'!$O$8="丙欄","○",IF('07nen'!$O$8="乙欄","○",""))</f>
        <v/>
      </c>
      <c r="S54" s="1473"/>
      <c r="T54" s="1473"/>
      <c r="U54" s="1476" t="str">
        <f>IF('07nen'!$AC$29&gt;0,"○","")</f>
        <v/>
      </c>
      <c r="V54" s="1476"/>
      <c r="W54" s="1476"/>
      <c r="X54" s="1473" t="str">
        <f>IF('07nen'!$AC$28&gt;0,"○","")</f>
        <v/>
      </c>
      <c r="Y54" s="1473"/>
      <c r="Z54" s="1473"/>
      <c r="AA54" s="1473" t="str">
        <f>IF('07nen'!$AC$31&gt;0,"○","")</f>
        <v/>
      </c>
      <c r="AB54" s="1473"/>
      <c r="AC54" s="1473"/>
      <c r="AD54" s="1473" t="str">
        <f>IF('07nen'!$AC$32&gt;0,"○","")</f>
        <v/>
      </c>
      <c r="AE54" s="1473"/>
      <c r="AF54" s="1473"/>
      <c r="AG54" s="1473" t="str">
        <f>IF('07nen'!$AE$32&gt;0,"○","")</f>
        <v/>
      </c>
      <c r="AH54" s="1473"/>
      <c r="AI54" s="1473"/>
      <c r="AJ54" s="1475"/>
      <c r="AK54" s="1475"/>
      <c r="AL54" s="1475"/>
      <c r="AM54" s="1481" t="str">
        <f>IF('07nen'!$D$47="就職","○","")</f>
        <v/>
      </c>
      <c r="AN54" s="1481"/>
      <c r="AO54" s="1481"/>
      <c r="AP54" s="1481" t="str">
        <f>IF('07nen'!$D$47="退職","○","")</f>
        <v/>
      </c>
      <c r="AQ54" s="1481"/>
      <c r="AR54" s="1481"/>
      <c r="AS54" s="1482">
        <f>+$X$5</f>
        <v>7</v>
      </c>
      <c r="AT54" s="1482"/>
      <c r="AU54" s="1482"/>
      <c r="AV54" s="1482"/>
      <c r="AW54" s="1483" t="str">
        <f>IF('07nen'!$D$48="","",'07nen'!$D$48)</f>
        <v/>
      </c>
      <c r="AX54" s="1483"/>
      <c r="AY54" s="1483"/>
      <c r="AZ54" s="1483"/>
      <c r="BA54" s="1484" t="str">
        <f>IF('07nen'!$D$48="","",'07nen'!$D$48)</f>
        <v/>
      </c>
      <c r="BB54" s="1484"/>
      <c r="BC54" s="1484"/>
      <c r="BD54" s="1484"/>
      <c r="BE54" s="1485" t="str">
        <f>IF('07nen'!$O$12="","",'07nen'!$O$12)</f>
        <v/>
      </c>
      <c r="BF54" s="1485"/>
      <c r="BG54" s="1485"/>
      <c r="BH54" s="1485"/>
      <c r="BI54" s="1485"/>
      <c r="BJ54" s="1485"/>
      <c r="BK54" s="1485"/>
      <c r="BL54" s="1485"/>
      <c r="BM54" s="1485"/>
      <c r="BN54" s="1485"/>
      <c r="BO54" s="1485"/>
      <c r="BP54" s="1478" t="str">
        <f>IF('07nen'!$O$12="","",'07nen'!$O$12)</f>
        <v/>
      </c>
      <c r="BQ54" s="1478"/>
      <c r="BR54" s="1478"/>
      <c r="BS54" s="1478"/>
      <c r="BT54" s="1479" t="str">
        <f>IF('07nen'!$O$12="","",'07nen'!$O$12)</f>
        <v/>
      </c>
      <c r="BU54" s="1479"/>
      <c r="BV54" s="1479"/>
      <c r="BW54" s="1479"/>
      <c r="BX54" s="1480" t="str">
        <f>IF('07nen'!$O$12="","",'07nen'!$O$12)</f>
        <v/>
      </c>
      <c r="BY54" s="1480"/>
      <c r="BZ54" s="1480"/>
      <c r="CA54" s="1480"/>
      <c r="CB54" s="127"/>
      <c r="CC54" s="117"/>
      <c r="CD54" s="117"/>
      <c r="CE54" s="121"/>
      <c r="CF54" s="121"/>
    </row>
    <row r="55" spans="1:84" ht="24">
      <c r="A55" s="74"/>
      <c r="B55" s="121"/>
      <c r="C55" s="121"/>
      <c r="D55" s="965"/>
      <c r="E55" s="1477"/>
      <c r="F55" s="1496" t="s">
        <v>67</v>
      </c>
      <c r="G55" s="1069"/>
      <c r="H55" s="1069"/>
      <c r="I55" s="1489" t="s">
        <v>231</v>
      </c>
      <c r="J55" s="1489"/>
      <c r="K55" s="1489"/>
      <c r="L55" s="1489"/>
      <c r="M55" s="1489"/>
      <c r="N55" s="1489"/>
      <c r="O55" s="1489"/>
      <c r="P55" s="1489"/>
      <c r="Q55" s="1489"/>
      <c r="R55" s="1486" t="str">
        <f>IF('07nen'!$E$11="","",IF('07nen'!$E$11&lt;1000000000000,"",LEFT((RIGHT('07nen'!$E$11+10000000000000,13)),1)))</f>
        <v/>
      </c>
      <c r="S55" s="1486"/>
      <c r="T55" s="1486" t="str">
        <f>IF('07nen'!$E$11="","",LEFT((RIGHT('07nen'!$E$11+10000000000000,12)),1))</f>
        <v/>
      </c>
      <c r="U55" s="1486"/>
      <c r="V55" s="1486" t="str">
        <f>IF('07nen'!$E$11="","",LEFT((RIGHT('07nen'!$E$11+10000000000000,11)),1))</f>
        <v/>
      </c>
      <c r="W55" s="1486"/>
      <c r="X55" s="1486" t="str">
        <f>IF('07nen'!$E$11="","",LEFT((RIGHT('07nen'!$E$11+10000000000000,10)),1))</f>
        <v/>
      </c>
      <c r="Y55" s="1486"/>
      <c r="Z55" s="1486" t="str">
        <f>IF('07nen'!$E$11="","",LEFT((RIGHT('07nen'!$E$11+10000000000000,9)),1))</f>
        <v/>
      </c>
      <c r="AA55" s="1486"/>
      <c r="AB55" s="1486" t="str">
        <f>IF('07nen'!$E$11="","",LEFT((RIGHT('07nen'!$E$11+10000000000000,8)),1))</f>
        <v/>
      </c>
      <c r="AC55" s="1486"/>
      <c r="AD55" s="1486" t="str">
        <f>IF('07nen'!$E$11="","",LEFT((RIGHT('07nen'!$E$11+10000000000000,7)),1))</f>
        <v/>
      </c>
      <c r="AE55" s="1486"/>
      <c r="AF55" s="1486" t="str">
        <f>IF('07nen'!$E$11="","",LEFT((RIGHT('07nen'!$E$11+10000000000000,6)),1))</f>
        <v/>
      </c>
      <c r="AG55" s="1486"/>
      <c r="AH55" s="1486" t="str">
        <f>IF('07nen'!$E$11="","",LEFT((RIGHT('07nen'!$E$11+10000000000000,5)),1))</f>
        <v/>
      </c>
      <c r="AI55" s="1486"/>
      <c r="AJ55" s="1486" t="str">
        <f>IF('07nen'!$E$11="","",LEFT((RIGHT('07nen'!$E$11+10000000000000,4)),1))</f>
        <v/>
      </c>
      <c r="AK55" s="1486"/>
      <c r="AL55" s="1486" t="str">
        <f>IF('07nen'!$E$11="","",LEFT((RIGHT('07nen'!$E$11+10000000000000,3)),1))</f>
        <v/>
      </c>
      <c r="AM55" s="1486"/>
      <c r="AN55" s="1486" t="str">
        <f>IF('07nen'!$E$11="","",LEFT((RIGHT('07nen'!$E$11+10000000000000,2)),1))</f>
        <v/>
      </c>
      <c r="AO55" s="1486"/>
      <c r="AP55" s="1486" t="str">
        <f>IF('07nen'!$E$11="","",LEFT((RIGHT('07nen'!$E$11+10000000000000,1)),1))</f>
        <v/>
      </c>
      <c r="AQ55" s="1486"/>
      <c r="AR55" s="236" t="s">
        <v>233</v>
      </c>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8"/>
      <c r="BQ55" s="237"/>
      <c r="BR55" s="237"/>
      <c r="BS55" s="237"/>
      <c r="BT55" s="237"/>
      <c r="BU55" s="237"/>
      <c r="BV55" s="237"/>
      <c r="BW55" s="237"/>
      <c r="BX55" s="237"/>
      <c r="BY55" s="237"/>
      <c r="BZ55" s="237"/>
      <c r="CA55" s="239"/>
      <c r="CB55" s="127"/>
      <c r="CC55" s="117"/>
      <c r="CD55" s="117"/>
      <c r="CE55" s="121"/>
      <c r="CF55" s="121"/>
    </row>
    <row r="56" spans="1:84" ht="28.15" customHeight="1">
      <c r="A56" s="240"/>
      <c r="B56" s="121"/>
      <c r="D56" s="965"/>
      <c r="E56" s="1477"/>
      <c r="F56" s="1496"/>
      <c r="G56" s="1069"/>
      <c r="H56" s="1069"/>
      <c r="I56" s="1487" t="s">
        <v>180</v>
      </c>
      <c r="J56" s="1487"/>
      <c r="K56" s="1487"/>
      <c r="L56" s="1487"/>
      <c r="M56" s="1487"/>
      <c r="N56" s="1487"/>
      <c r="O56" s="1487"/>
      <c r="P56" s="1487"/>
      <c r="Q56" s="1487"/>
      <c r="R56" s="1261" t="str">
        <f>IF('07nen'!$E$9="","",'07nen'!$E$9)</f>
        <v/>
      </c>
      <c r="S56" s="1488"/>
      <c r="T56" s="1488"/>
      <c r="U56" s="1488"/>
      <c r="V56" s="1488"/>
      <c r="W56" s="1488"/>
      <c r="X56" s="1488"/>
      <c r="Y56" s="1488"/>
      <c r="Z56" s="1488"/>
      <c r="AA56" s="1488"/>
      <c r="AB56" s="1488"/>
      <c r="AC56" s="1488"/>
      <c r="AD56" s="1488"/>
      <c r="AE56" s="1488"/>
      <c r="AF56" s="1488"/>
      <c r="AG56" s="1488"/>
      <c r="AH56" s="1488"/>
      <c r="AI56" s="1488"/>
      <c r="AJ56" s="1488"/>
      <c r="AK56" s="1488"/>
      <c r="AL56" s="1488"/>
      <c r="AM56" s="1488"/>
      <c r="AN56" s="1488"/>
      <c r="AO56" s="1488"/>
      <c r="AP56" s="1488"/>
      <c r="AQ56" s="1488"/>
      <c r="AR56" s="1488"/>
      <c r="AS56" s="1488"/>
      <c r="AT56" s="1488"/>
      <c r="AU56" s="1488"/>
      <c r="AV56" s="1488"/>
      <c r="AW56" s="1488"/>
      <c r="AX56" s="1488"/>
      <c r="AY56" s="1488"/>
      <c r="AZ56" s="1488"/>
      <c r="BA56" s="1488"/>
      <c r="BB56" s="1488"/>
      <c r="BC56" s="1488"/>
      <c r="BD56" s="1488"/>
      <c r="BE56" s="1488"/>
      <c r="BF56" s="1488"/>
      <c r="BG56" s="1488"/>
      <c r="BH56" s="1488"/>
      <c r="BI56" s="1488"/>
      <c r="BJ56" s="1488"/>
      <c r="BK56" s="1488"/>
      <c r="BL56" s="1488"/>
      <c r="BM56" s="1488"/>
      <c r="BN56" s="1488"/>
      <c r="BO56" s="1488"/>
      <c r="BP56" s="1488"/>
      <c r="BQ56" s="1488"/>
      <c r="BR56" s="1488"/>
      <c r="BS56" s="1488"/>
      <c r="BT56" s="1488"/>
      <c r="BU56" s="1488"/>
      <c r="BV56" s="1488"/>
      <c r="BW56" s="1488"/>
      <c r="BX56" s="1488"/>
      <c r="BY56" s="1488"/>
      <c r="BZ56" s="1488"/>
      <c r="CA56" s="1287"/>
      <c r="CB56" s="127"/>
      <c r="CC56" s="117"/>
      <c r="CD56" s="117"/>
      <c r="CE56" s="121"/>
    </row>
    <row r="57" spans="1:84" ht="28.15" customHeight="1">
      <c r="A57" s="240"/>
      <c r="B57" s="121"/>
      <c r="D57" s="965"/>
      <c r="E57" s="1477"/>
      <c r="F57" s="1497"/>
      <c r="G57" s="1498"/>
      <c r="H57" s="1498"/>
      <c r="I57" s="1499" t="s">
        <v>195</v>
      </c>
      <c r="J57" s="1499"/>
      <c r="K57" s="1499"/>
      <c r="L57" s="1499"/>
      <c r="M57" s="1499"/>
      <c r="N57" s="1499"/>
      <c r="O57" s="1499"/>
      <c r="P57" s="1499"/>
      <c r="Q57" s="1499"/>
      <c r="R57" s="1008" t="str">
        <f>IF('07nen'!$E$10="","",'07nen'!$E$10)</f>
        <v/>
      </c>
      <c r="S57" s="1490"/>
      <c r="T57" s="1490"/>
      <c r="U57" s="1490"/>
      <c r="V57" s="1490"/>
      <c r="W57" s="1490"/>
      <c r="X57" s="1490"/>
      <c r="Y57" s="1490"/>
      <c r="Z57" s="1490"/>
      <c r="AA57" s="1490"/>
      <c r="AB57" s="1490"/>
      <c r="AC57" s="1490"/>
      <c r="AD57" s="1490"/>
      <c r="AE57" s="1490"/>
      <c r="AF57" s="1490"/>
      <c r="AG57" s="1490"/>
      <c r="AH57" s="1490"/>
      <c r="AI57" s="1490"/>
      <c r="AJ57" s="1490"/>
      <c r="AK57" s="1490"/>
      <c r="AL57" s="1490"/>
      <c r="AM57" s="1490"/>
      <c r="AN57" s="1490"/>
      <c r="AO57" s="1490"/>
      <c r="AP57" s="1490"/>
      <c r="AQ57" s="1490"/>
      <c r="AR57" s="1490"/>
      <c r="AS57" s="1490"/>
      <c r="AT57" s="1490"/>
      <c r="AU57" s="1490"/>
      <c r="AV57" s="1490"/>
      <c r="AW57" s="1490"/>
      <c r="AX57" s="1490"/>
      <c r="AY57" s="1490"/>
      <c r="AZ57" s="1490"/>
      <c r="BA57" s="1490"/>
      <c r="BB57" s="1490"/>
      <c r="BC57" s="1490"/>
      <c r="BD57" s="1490"/>
      <c r="BE57" s="1490"/>
      <c r="BF57" s="1297" t="s">
        <v>232</v>
      </c>
      <c r="BG57" s="1297"/>
      <c r="BH57" s="1297"/>
      <c r="BI57" s="1297"/>
      <c r="BJ57" s="1297"/>
      <c r="BK57" s="1298" t="str">
        <f>IF('07nen'!$E$12="","",'07nen'!$E$12)</f>
        <v/>
      </c>
      <c r="BL57" s="1298"/>
      <c r="BM57" s="1298"/>
      <c r="BN57" s="1298"/>
      <c r="BO57" s="1298"/>
      <c r="BP57" s="1298"/>
      <c r="BQ57" s="1298"/>
      <c r="BR57" s="1298"/>
      <c r="BS57" s="1298"/>
      <c r="BT57" s="1298"/>
      <c r="BU57" s="1298"/>
      <c r="BV57" s="1298"/>
      <c r="BW57" s="1298"/>
      <c r="BX57" s="1298"/>
      <c r="BY57" s="1298"/>
      <c r="BZ57" s="1298"/>
      <c r="CA57" s="1299"/>
      <c r="CB57" s="127"/>
      <c r="CC57" s="117"/>
      <c r="CD57" s="117"/>
      <c r="CE57" s="121"/>
    </row>
    <row r="58" spans="1:84" ht="18.75">
      <c r="A58" s="98"/>
      <c r="B58" s="129"/>
      <c r="C58" s="71"/>
      <c r="D58" s="71"/>
      <c r="E58" s="129"/>
      <c r="F58" s="1491" t="s">
        <v>81</v>
      </c>
      <c r="G58" s="1491"/>
      <c r="H58" s="1491"/>
      <c r="I58" s="1491"/>
      <c r="J58" s="1491"/>
      <c r="K58" s="1491"/>
      <c r="L58" s="1491"/>
      <c r="M58" s="1491"/>
      <c r="N58" s="1491"/>
      <c r="O58" s="1491"/>
      <c r="P58" s="1492" t="str">
        <f>IF('07nen'!$E$13="","",LEFT((RIGHT('07nen'!$E$13+100000,5)),1))</f>
        <v/>
      </c>
      <c r="Q58" s="1493"/>
      <c r="R58" s="1494" t="str">
        <f>IF('07nen'!$E$13="","",LEFT((RIGHT('07nen'!$E$13+100000,4)),1))</f>
        <v/>
      </c>
      <c r="S58" s="1494"/>
      <c r="T58" s="1494" t="str">
        <f>IF('07nen'!$E$13="","",LEFT((RIGHT('07nen'!$E$13+100000,3)),1))</f>
        <v/>
      </c>
      <c r="U58" s="1494"/>
      <c r="V58" s="1494" t="str">
        <f>IF('07nen'!$E$13="","",LEFT((RIGHT('07nen'!$E$13+100000,2)),1))</f>
        <v/>
      </c>
      <c r="W58" s="1494"/>
      <c r="X58" s="1494" t="str">
        <f>IF('07nen'!$E$13="","",LEFT((RIGHT('07nen'!$E$13+100000,1)),1))</f>
        <v/>
      </c>
      <c r="Y58" s="1495"/>
      <c r="Z58" s="1500" t="s">
        <v>83</v>
      </c>
      <c r="AA58" s="1500"/>
      <c r="AB58" s="1500"/>
      <c r="AC58" s="1500"/>
      <c r="AD58" s="1500"/>
      <c r="AE58" s="1500"/>
      <c r="AF58" s="1500"/>
      <c r="AG58" s="1500"/>
      <c r="AH58" s="1500"/>
      <c r="AI58" s="1500"/>
      <c r="AJ58" s="1501" t="str">
        <f>IF('07nen'!$I$13="","",LEFT((RIGHT('07nen'!$I$13+100000000,8)),1))</f>
        <v/>
      </c>
      <c r="AK58" s="1494"/>
      <c r="AL58" s="1494" t="str">
        <f>IF('07nen'!$I$13="","",LEFT((RIGHT('07nen'!$I$13+100000000,7)),1))</f>
        <v/>
      </c>
      <c r="AM58" s="1494"/>
      <c r="AN58" s="1494" t="str">
        <f>IF('07nen'!$I$13="","",LEFT((RIGHT('07nen'!$I$13+100000000,6)),1))</f>
        <v/>
      </c>
      <c r="AO58" s="1494"/>
      <c r="AP58" s="1494" t="str">
        <f>IF('07nen'!$I$13="","",LEFT((RIGHT('07nen'!$I$13+100000000,5)),1))</f>
        <v/>
      </c>
      <c r="AQ58" s="1494"/>
      <c r="AR58" s="1494" t="str">
        <f>IF('07nen'!$I$13="","",LEFT((RIGHT('07nen'!$I$13+100000000,4)),1))</f>
        <v/>
      </c>
      <c r="AS58" s="1494"/>
      <c r="AT58" s="1494" t="str">
        <f>IF('07nen'!$I$13="","",LEFT((RIGHT('07nen'!$I$13+100000000,3)),1))</f>
        <v/>
      </c>
      <c r="AU58" s="1494"/>
      <c r="AV58" s="1494" t="str">
        <f>IF('07nen'!$I$13="","",LEFT((RIGHT('07nen'!$I$13+100000000,2)),1))</f>
        <v/>
      </c>
      <c r="AW58" s="1494"/>
      <c r="AX58" s="1494" t="str">
        <f>IF('07nen'!$I$13="","",LEFT((RIGHT('07nen'!$I$13+100000000,1)),1))</f>
        <v/>
      </c>
      <c r="AY58" s="1495"/>
      <c r="AZ58" s="71"/>
      <c r="BA58" s="198"/>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136" t="s">
        <v>264</v>
      </c>
      <c r="CB58" s="130"/>
      <c r="CC58" s="131"/>
      <c r="CD58" s="131"/>
      <c r="CE58" s="129"/>
      <c r="CF58" s="71"/>
    </row>
    <row r="59" spans="1:84">
      <c r="A59" s="118"/>
    </row>
    <row r="60" spans="1:84" ht="14.25">
      <c r="A60" s="73"/>
    </row>
  </sheetData>
  <sheetProtection algorithmName="SHA-512" hashValue="rOh/N3t/B0PES7ZYSuydHUkWDCaLIf0t1DjFD9+GBt6pVZROkfyUAupV57onOwkwcWQ46NQnLJqiImMTSRvGKA==" saltValue="q+lQbXCP0gDH0az9R6P0dg==" spinCount="100000" sheet="1" objects="1" scenarios="1"/>
  <mergeCells count="415">
    <mergeCell ref="X55:Y55"/>
    <mergeCell ref="Z55:AA55"/>
    <mergeCell ref="AB55:AC55"/>
    <mergeCell ref="I55:Q55"/>
    <mergeCell ref="R57:BE57"/>
    <mergeCell ref="BF57:BJ57"/>
    <mergeCell ref="BK57:CA57"/>
    <mergeCell ref="F58:O58"/>
    <mergeCell ref="P58:Q58"/>
    <mergeCell ref="R58:S58"/>
    <mergeCell ref="T58:U58"/>
    <mergeCell ref="V58:W58"/>
    <mergeCell ref="X58:Y58"/>
    <mergeCell ref="F55:H57"/>
    <mergeCell ref="I57:Q57"/>
    <mergeCell ref="AT58:AU58"/>
    <mergeCell ref="AV58:AW58"/>
    <mergeCell ref="AX58:AY58"/>
    <mergeCell ref="Z58:AI58"/>
    <mergeCell ref="AJ58:AK58"/>
    <mergeCell ref="AL58:AM58"/>
    <mergeCell ref="AN58:AO58"/>
    <mergeCell ref="AP58:AQ58"/>
    <mergeCell ref="AR58:AS58"/>
    <mergeCell ref="D53:E57"/>
    <mergeCell ref="AM53:AO53"/>
    <mergeCell ref="AP53:AR53"/>
    <mergeCell ref="BP54:BS54"/>
    <mergeCell ref="BT54:BW54"/>
    <mergeCell ref="BX54:CA54"/>
    <mergeCell ref="AM54:AO54"/>
    <mergeCell ref="AP54:AR54"/>
    <mergeCell ref="AS54:AV54"/>
    <mergeCell ref="AW54:AZ54"/>
    <mergeCell ref="BA54:BD54"/>
    <mergeCell ref="BE54:BO54"/>
    <mergeCell ref="AP55:AQ55"/>
    <mergeCell ref="I56:Q56"/>
    <mergeCell ref="R56:CA56"/>
    <mergeCell ref="AD55:AE55"/>
    <mergeCell ref="AF55:AG55"/>
    <mergeCell ref="AH55:AI55"/>
    <mergeCell ref="AJ55:AK55"/>
    <mergeCell ref="AL55:AM55"/>
    <mergeCell ref="AN55:AO55"/>
    <mergeCell ref="R55:S55"/>
    <mergeCell ref="T55:U55"/>
    <mergeCell ref="V55:W55"/>
    <mergeCell ref="F54:H54"/>
    <mergeCell ref="I54:K54"/>
    <mergeCell ref="L54:N54"/>
    <mergeCell ref="O54:Q54"/>
    <mergeCell ref="AA50:AC53"/>
    <mergeCell ref="AD50:AF53"/>
    <mergeCell ref="AG50:AI53"/>
    <mergeCell ref="AJ50:AL54"/>
    <mergeCell ref="AM50:BD52"/>
    <mergeCell ref="R54:T54"/>
    <mergeCell ref="U54:W54"/>
    <mergeCell ref="X54:Z54"/>
    <mergeCell ref="AA54:AC54"/>
    <mergeCell ref="AD54:AF54"/>
    <mergeCell ref="AG54:AI54"/>
    <mergeCell ref="BE50:CA52"/>
    <mergeCell ref="BE53:BO53"/>
    <mergeCell ref="BP53:BS53"/>
    <mergeCell ref="BT53:BW53"/>
    <mergeCell ref="BX53:CA53"/>
    <mergeCell ref="F50:H53"/>
    <mergeCell ref="I50:K53"/>
    <mergeCell ref="L50:N53"/>
    <mergeCell ref="O50:Q53"/>
    <mergeCell ref="R50:T53"/>
    <mergeCell ref="U50:Z50"/>
    <mergeCell ref="U51:W53"/>
    <mergeCell ref="X51:Z53"/>
    <mergeCell ref="AS53:AV53"/>
    <mergeCell ref="AW53:AZ53"/>
    <mergeCell ref="BA53:BD53"/>
    <mergeCell ref="O47:U47"/>
    <mergeCell ref="X47:AD47"/>
    <mergeCell ref="AF47:AG48"/>
    <mergeCell ref="AH47:AK48"/>
    <mergeCell ref="AO47:AO49"/>
    <mergeCell ref="AP47:AS47"/>
    <mergeCell ref="O48:U48"/>
    <mergeCell ref="X48:AD48"/>
    <mergeCell ref="AP48:AS48"/>
    <mergeCell ref="N49:O49"/>
    <mergeCell ref="AB49:AC49"/>
    <mergeCell ref="AD49:AE49"/>
    <mergeCell ref="AF49:AG49"/>
    <mergeCell ref="AH49:AI49"/>
    <mergeCell ref="AJ49:AK49"/>
    <mergeCell ref="AP49:BQ49"/>
    <mergeCell ref="P49:Q49"/>
    <mergeCell ref="R49:S49"/>
    <mergeCell ref="T49:U49"/>
    <mergeCell ref="V49:W49"/>
    <mergeCell ref="X49:Y49"/>
    <mergeCell ref="Z49:AA49"/>
    <mergeCell ref="BN47:BQ48"/>
    <mergeCell ref="I47:I49"/>
    <mergeCell ref="J47:M47"/>
    <mergeCell ref="J48:M48"/>
    <mergeCell ref="J49:M49"/>
    <mergeCell ref="AP46:BQ46"/>
    <mergeCell ref="X46:Y46"/>
    <mergeCell ref="Z46:AA46"/>
    <mergeCell ref="AB46:AC46"/>
    <mergeCell ref="AD46:AE46"/>
    <mergeCell ref="AF46:AG46"/>
    <mergeCell ref="AH46:AI46"/>
    <mergeCell ref="J46:M46"/>
    <mergeCell ref="N46:O46"/>
    <mergeCell ref="P46:Q46"/>
    <mergeCell ref="R46:S46"/>
    <mergeCell ref="T46:U46"/>
    <mergeCell ref="V46:W46"/>
    <mergeCell ref="I44:I46"/>
    <mergeCell ref="J44:M44"/>
    <mergeCell ref="O44:U44"/>
    <mergeCell ref="X44:AD44"/>
    <mergeCell ref="AF44:AG45"/>
    <mergeCell ref="J45:M45"/>
    <mergeCell ref="O45:U45"/>
    <mergeCell ref="X45:AD45"/>
    <mergeCell ref="AD43:AE43"/>
    <mergeCell ref="AF43:AG43"/>
    <mergeCell ref="AH43:AI43"/>
    <mergeCell ref="AJ43:AK43"/>
    <mergeCell ref="AP43:BQ43"/>
    <mergeCell ref="R43:S43"/>
    <mergeCell ref="T43:U43"/>
    <mergeCell ref="V43:W43"/>
    <mergeCell ref="X43:Y43"/>
    <mergeCell ref="Z43:AA43"/>
    <mergeCell ref="AB43:AC43"/>
    <mergeCell ref="BN44:BQ45"/>
    <mergeCell ref="AH44:AK45"/>
    <mergeCell ref="AO44:AO46"/>
    <mergeCell ref="AP44:AS44"/>
    <mergeCell ref="AU44:BA44"/>
    <mergeCell ref="BD44:BJ44"/>
    <mergeCell ref="BL44:BM45"/>
    <mergeCell ref="AP45:AS45"/>
    <mergeCell ref="AU45:BA45"/>
    <mergeCell ref="BD45:BJ45"/>
    <mergeCell ref="AJ46:AK46"/>
    <mergeCell ref="I38:I40"/>
    <mergeCell ref="J38:M38"/>
    <mergeCell ref="O38:U38"/>
    <mergeCell ref="X38:AD38"/>
    <mergeCell ref="J42:M42"/>
    <mergeCell ref="O42:U42"/>
    <mergeCell ref="X42:AD42"/>
    <mergeCell ref="AP42:AS42"/>
    <mergeCell ref="AU42:BA42"/>
    <mergeCell ref="AF41:AG42"/>
    <mergeCell ref="AH41:AK42"/>
    <mergeCell ref="AO41:AO43"/>
    <mergeCell ref="AP41:AS41"/>
    <mergeCell ref="AU41:BA41"/>
    <mergeCell ref="P43:Q43"/>
    <mergeCell ref="AF38:AG39"/>
    <mergeCell ref="AH38:AK39"/>
    <mergeCell ref="J39:M39"/>
    <mergeCell ref="O39:U39"/>
    <mergeCell ref="X39:AD39"/>
    <mergeCell ref="J40:M40"/>
    <mergeCell ref="BR40:CA40"/>
    <mergeCell ref="Z40:AA40"/>
    <mergeCell ref="AB40:AC40"/>
    <mergeCell ref="AD40:AE40"/>
    <mergeCell ref="AF40:AG40"/>
    <mergeCell ref="AH40:AI40"/>
    <mergeCell ref="AJ40:AK40"/>
    <mergeCell ref="N40:O40"/>
    <mergeCell ref="P40:Q40"/>
    <mergeCell ref="R40:S40"/>
    <mergeCell ref="T40:U40"/>
    <mergeCell ref="V40:W40"/>
    <mergeCell ref="X40:Y40"/>
    <mergeCell ref="BL41:BM42"/>
    <mergeCell ref="BN41:BQ42"/>
    <mergeCell ref="BR41:CA41"/>
    <mergeCell ref="BD41:BJ41"/>
    <mergeCell ref="BD42:BJ42"/>
    <mergeCell ref="BR39:CA39"/>
    <mergeCell ref="BN38:BQ39"/>
    <mergeCell ref="BR38:CA38"/>
    <mergeCell ref="AL38:AN49"/>
    <mergeCell ref="AO38:AO40"/>
    <mergeCell ref="AP38:AS38"/>
    <mergeCell ref="AU38:BA38"/>
    <mergeCell ref="BD38:BJ38"/>
    <mergeCell ref="BL38:BM39"/>
    <mergeCell ref="AP39:AS39"/>
    <mergeCell ref="AU39:BA39"/>
    <mergeCell ref="BD39:BJ39"/>
    <mergeCell ref="AP40:BQ40"/>
    <mergeCell ref="BR45:CA49"/>
    <mergeCell ref="AU48:BA48"/>
    <mergeCell ref="BD48:BJ48"/>
    <mergeCell ref="AU47:BA47"/>
    <mergeCell ref="BD47:BJ47"/>
    <mergeCell ref="BL47:BM48"/>
    <mergeCell ref="F38:H49"/>
    <mergeCell ref="AJ37:AK37"/>
    <mergeCell ref="BG37:BM37"/>
    <mergeCell ref="F33:I37"/>
    <mergeCell ref="J33:M34"/>
    <mergeCell ref="O33:U34"/>
    <mergeCell ref="X33:AD34"/>
    <mergeCell ref="AF33:AG36"/>
    <mergeCell ref="AH33:AK36"/>
    <mergeCell ref="J35:M36"/>
    <mergeCell ref="O35:U36"/>
    <mergeCell ref="X35:AD36"/>
    <mergeCell ref="I41:I43"/>
    <mergeCell ref="J41:M41"/>
    <mergeCell ref="O41:U41"/>
    <mergeCell ref="X41:AD41"/>
    <mergeCell ref="J43:M43"/>
    <mergeCell ref="N43:O43"/>
    <mergeCell ref="X37:Y37"/>
    <mergeCell ref="Z37:AA37"/>
    <mergeCell ref="AB37:AC37"/>
    <mergeCell ref="AD37:AE37"/>
    <mergeCell ref="AF37:AG37"/>
    <mergeCell ref="AH37:AI37"/>
    <mergeCell ref="J37:M37"/>
    <mergeCell ref="N37:O37"/>
    <mergeCell ref="P37:Q37"/>
    <mergeCell ref="R37:S37"/>
    <mergeCell ref="T37:U37"/>
    <mergeCell ref="V37:W37"/>
    <mergeCell ref="BL36:BM36"/>
    <mergeCell ref="BN36:BT37"/>
    <mergeCell ref="BZ36:CA36"/>
    <mergeCell ref="AL33:AR37"/>
    <mergeCell ref="AX33:AY33"/>
    <mergeCell ref="AZ33:BF35"/>
    <mergeCell ref="BL33:BM33"/>
    <mergeCell ref="BN33:BT35"/>
    <mergeCell ref="BZ33:CA33"/>
    <mergeCell ref="AS34:AY37"/>
    <mergeCell ref="BG34:BM35"/>
    <mergeCell ref="BU34:CA35"/>
    <mergeCell ref="AZ36:BF37"/>
    <mergeCell ref="BU37:CA37"/>
    <mergeCell ref="Q32:X32"/>
    <mergeCell ref="AF32:AH32"/>
    <mergeCell ref="AK32:AL32"/>
    <mergeCell ref="AO32:AP32"/>
    <mergeCell ref="BN32:CA32"/>
    <mergeCell ref="BF31:BL32"/>
    <mergeCell ref="BZ31:CA31"/>
    <mergeCell ref="Y31:AE32"/>
    <mergeCell ref="AH31:AI31"/>
    <mergeCell ref="AL31:AM31"/>
    <mergeCell ref="AP31:AQ31"/>
    <mergeCell ref="AR31:AX32"/>
    <mergeCell ref="AY31:BE32"/>
    <mergeCell ref="AS28:AY28"/>
    <mergeCell ref="F27:I28"/>
    <mergeCell ref="J27:O28"/>
    <mergeCell ref="BN30:CA30"/>
    <mergeCell ref="BZ29:CA29"/>
    <mergeCell ref="AF30:AH30"/>
    <mergeCell ref="AH29:AI29"/>
    <mergeCell ref="AL29:AM29"/>
    <mergeCell ref="AP29:AQ29"/>
    <mergeCell ref="AR29:AX30"/>
    <mergeCell ref="AY29:BE30"/>
    <mergeCell ref="BF29:BL30"/>
    <mergeCell ref="AK30:AL30"/>
    <mergeCell ref="AO30:AP30"/>
    <mergeCell ref="AY22:BM22"/>
    <mergeCell ref="BN22:CA22"/>
    <mergeCell ref="F23:T23"/>
    <mergeCell ref="U23:AI23"/>
    <mergeCell ref="AJ23:AX23"/>
    <mergeCell ref="F29:I32"/>
    <mergeCell ref="J29:P30"/>
    <mergeCell ref="Q29:X30"/>
    <mergeCell ref="Y29:AE30"/>
    <mergeCell ref="J31:P32"/>
    <mergeCell ref="W31:X31"/>
    <mergeCell ref="BG28:BM28"/>
    <mergeCell ref="BU28:CA28"/>
    <mergeCell ref="BL27:BM27"/>
    <mergeCell ref="BN27:BS28"/>
    <mergeCell ref="BZ27:CA27"/>
    <mergeCell ref="V27:W27"/>
    <mergeCell ref="X27:AC28"/>
    <mergeCell ref="AJ27:AK27"/>
    <mergeCell ref="AL27:AQ28"/>
    <mergeCell ref="AX27:AY27"/>
    <mergeCell ref="AZ27:BE28"/>
    <mergeCell ref="Q28:W28"/>
    <mergeCell ref="AE28:AK28"/>
    <mergeCell ref="AL19:AN20"/>
    <mergeCell ref="AO19:AQ20"/>
    <mergeCell ref="H25:M25"/>
    <mergeCell ref="H26:M26"/>
    <mergeCell ref="F22:T22"/>
    <mergeCell ref="U22:V22"/>
    <mergeCell ref="X22:AG22"/>
    <mergeCell ref="AH22:AI22"/>
    <mergeCell ref="AJ22:AX22"/>
    <mergeCell ref="BW18:CA18"/>
    <mergeCell ref="S18:AE18"/>
    <mergeCell ref="AU18:AW18"/>
    <mergeCell ref="BA18:BC18"/>
    <mergeCell ref="BD18:BF18"/>
    <mergeCell ref="BG18:BJ18"/>
    <mergeCell ref="BK18:BN18"/>
    <mergeCell ref="BO18:BR18"/>
    <mergeCell ref="BS18:BV18"/>
    <mergeCell ref="F18:J18"/>
    <mergeCell ref="K18:N18"/>
    <mergeCell ref="O18:R18"/>
    <mergeCell ref="F16:N17"/>
    <mergeCell ref="O16:R16"/>
    <mergeCell ref="S14:AE17"/>
    <mergeCell ref="BA17:BF17"/>
    <mergeCell ref="BK17:BR17"/>
    <mergeCell ref="BS17:BV17"/>
    <mergeCell ref="AF18:AH18"/>
    <mergeCell ref="AI18:AK18"/>
    <mergeCell ref="AL18:AN18"/>
    <mergeCell ref="AO18:AQ18"/>
    <mergeCell ref="AR18:AT18"/>
    <mergeCell ref="AX18:AZ18"/>
    <mergeCell ref="BW14:CA17"/>
    <mergeCell ref="F14:R15"/>
    <mergeCell ref="O17:R17"/>
    <mergeCell ref="AI13:AW13"/>
    <mergeCell ref="AX13:BL13"/>
    <mergeCell ref="BM13:CA13"/>
    <mergeCell ref="AG12:AH12"/>
    <mergeCell ref="AI12:AW12"/>
    <mergeCell ref="AX12:BL12"/>
    <mergeCell ref="BO12:BY12"/>
    <mergeCell ref="BZ12:CA12"/>
    <mergeCell ref="F12:S13"/>
    <mergeCell ref="T12:U12"/>
    <mergeCell ref="V12:AF12"/>
    <mergeCell ref="T13:AH13"/>
    <mergeCell ref="AF14:BF14"/>
    <mergeCell ref="BG14:BJ17"/>
    <mergeCell ref="BK14:BV14"/>
    <mergeCell ref="AF15:BF16"/>
    <mergeCell ref="BK15:BV16"/>
    <mergeCell ref="AF17:AK17"/>
    <mergeCell ref="AL17:AT17"/>
    <mergeCell ref="AU17:AZ17"/>
    <mergeCell ref="AI11:AW11"/>
    <mergeCell ref="AX11:BL11"/>
    <mergeCell ref="BM11:CA11"/>
    <mergeCell ref="F11:S11"/>
    <mergeCell ref="T11:AH11"/>
    <mergeCell ref="AX9:BA9"/>
    <mergeCell ref="BB9:BM9"/>
    <mergeCell ref="BP9:CA9"/>
    <mergeCell ref="BB10:BM10"/>
    <mergeCell ref="BP10:CA10"/>
    <mergeCell ref="F6:J10"/>
    <mergeCell ref="K6:M10"/>
    <mergeCell ref="N6:AT10"/>
    <mergeCell ref="BD6:CA6"/>
    <mergeCell ref="X5:Z5"/>
    <mergeCell ref="AI5:BH5"/>
    <mergeCell ref="FB1:FE1"/>
    <mergeCell ref="BB8:CA8"/>
    <mergeCell ref="AU9:AW10"/>
    <mergeCell ref="BR7:BS7"/>
    <mergeCell ref="BT7:BU7"/>
    <mergeCell ref="BV7:BW7"/>
    <mergeCell ref="BX7:BY7"/>
    <mergeCell ref="BZ7:CA7"/>
    <mergeCell ref="AU8:BA8"/>
    <mergeCell ref="BF7:BG7"/>
    <mergeCell ref="BH7:BI7"/>
    <mergeCell ref="BJ7:BK7"/>
    <mergeCell ref="BL7:BM7"/>
    <mergeCell ref="BN7:BO7"/>
    <mergeCell ref="BP7:BQ7"/>
    <mergeCell ref="AU7:BC7"/>
    <mergeCell ref="BD7:BE7"/>
    <mergeCell ref="AY23:BM23"/>
    <mergeCell ref="BN23:CA23"/>
    <mergeCell ref="O24:CA26"/>
    <mergeCell ref="AR19:AT20"/>
    <mergeCell ref="AX19:AZ20"/>
    <mergeCell ref="BA19:BC20"/>
    <mergeCell ref="BD19:BF20"/>
    <mergeCell ref="BG19:BJ20"/>
    <mergeCell ref="BK19:BN20"/>
    <mergeCell ref="BO19:BR20"/>
    <mergeCell ref="BS19:BV20"/>
    <mergeCell ref="F21:T21"/>
    <mergeCell ref="U21:AI21"/>
    <mergeCell ref="AJ21:AX21"/>
    <mergeCell ref="AY21:BM21"/>
    <mergeCell ref="BN21:CA21"/>
    <mergeCell ref="BW19:CA20"/>
    <mergeCell ref="AU19:AW20"/>
    <mergeCell ref="K19:N20"/>
    <mergeCell ref="O19:R20"/>
    <mergeCell ref="S19:AE20"/>
    <mergeCell ref="F19:J20"/>
    <mergeCell ref="AF19:AH20"/>
    <mergeCell ref="AI19:AK20"/>
  </mergeCells>
  <phoneticPr fontId="3"/>
  <printOptions verticalCentered="1"/>
  <pageMargins left="0.19685039370078741" right="0.19685039370078741" top="0.19685039370078741" bottom="0.19685039370078741" header="0.11811023622047245" footer="0.11811023622047245"/>
  <pageSetup paperSize="9" scale="49" fitToWidth="2" orientation="landscape" r:id="rId1"/>
  <headerFooter alignWithMargins="0"/>
  <colBreaks count="1" manualBreakCount="1">
    <brk id="1" max="1048575" man="1"/>
  </colBreaks>
  <ignoredErrors>
    <ignoredError sqref="BO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07nen</vt:lpstr>
      <vt:lpstr>07源泉</vt:lpstr>
      <vt:lpstr>07源泉(税務署)</vt:lpstr>
      <vt:lpstr>'07nen'!Print_Area</vt:lpstr>
      <vt:lpstr>'07源泉'!Print_Area</vt:lpstr>
      <vt:lpstr>'07源泉(税務署)'!Print_Area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7年分年末調整・源泉徴収票ver252</dc:title>
  <dc:creator>RRS(Rescue Rangers)</dc:creator>
  <cp:lastModifiedBy>RRS</cp:lastModifiedBy>
  <cp:lastPrinted>2025-11-22T02:32:55Z</cp:lastPrinted>
  <dcterms:created xsi:type="dcterms:W3CDTF">1996-06-25T02:30:26Z</dcterms:created>
  <dcterms:modified xsi:type="dcterms:W3CDTF">2025-12-16T10:55:43Z</dcterms:modified>
</cp:coreProperties>
</file>