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12" windowWidth="23064" windowHeight="10164"/>
  </bookViews>
  <sheets>
    <sheet name="fud-data" sheetId="3" r:id="rId1"/>
    <sheet name="fud" sheetId="2" r:id="rId2"/>
  </sheets>
  <definedNames>
    <definedName name="_xlnm.Print_Area" localSheetId="1">fud!$B$4:$BZ$48</definedName>
    <definedName name="QQ">#REF!</definedName>
  </definedNames>
  <calcPr calcId="145621"/>
</workbook>
</file>

<file path=xl/calcChain.xml><?xml version="1.0" encoding="utf-8"?>
<calcChain xmlns="http://schemas.openxmlformats.org/spreadsheetml/2006/main">
  <c r="AI31" i="2" l="1"/>
  <c r="BX31" i="2"/>
  <c r="BX7" i="2"/>
  <c r="BN47" i="2" l="1"/>
  <c r="AY47" i="2"/>
  <c r="Y47" i="2"/>
  <c r="J47" i="2"/>
  <c r="BN23" i="2"/>
  <c r="AY23" i="2"/>
  <c r="Y23" i="2"/>
  <c r="J23" i="2"/>
  <c r="AK20" i="2"/>
  <c r="BZ44" i="2" l="1"/>
  <c r="BY44" i="2" s="1"/>
  <c r="AK44" i="2"/>
  <c r="AG44" i="2" s="1"/>
  <c r="BZ20" i="2"/>
  <c r="BY20" i="2" s="1"/>
  <c r="AI20" i="2"/>
  <c r="AK7" i="2"/>
  <c r="AH7" i="2" s="1"/>
  <c r="E38" i="2"/>
  <c r="AT14" i="2"/>
  <c r="AT38" i="2"/>
  <c r="BR33" i="2"/>
  <c r="K29" i="2"/>
  <c r="BH33" i="2"/>
  <c r="BD33" i="2"/>
  <c r="AT33" i="2"/>
  <c r="AQ33" i="2"/>
  <c r="AC33" i="2"/>
  <c r="S33" i="2"/>
  <c r="O33" i="2"/>
  <c r="E33" i="2"/>
  <c r="B33" i="2"/>
  <c r="BR9" i="2"/>
  <c r="BH9" i="2"/>
  <c r="BD9" i="2"/>
  <c r="AT9" i="2"/>
  <c r="AQ9" i="2"/>
  <c r="BY48" i="2"/>
  <c r="AJ48" i="2"/>
  <c r="BY24" i="2"/>
  <c r="I42" i="2"/>
  <c r="AX42" i="2"/>
  <c r="I43" i="2"/>
  <c r="AX43" i="2"/>
  <c r="S45" i="2"/>
  <c r="BH45" i="2"/>
  <c r="AQ39" i="2"/>
  <c r="B39" i="2"/>
  <c r="AQ15" i="2"/>
  <c r="I24" i="3"/>
  <c r="I23" i="3"/>
  <c r="I22" i="3"/>
  <c r="I21" i="3"/>
  <c r="I20" i="3"/>
  <c r="K40" i="3"/>
  <c r="S9" i="2"/>
  <c r="O9" i="2"/>
  <c r="E9" i="2"/>
  <c r="AX28" i="2"/>
  <c r="I28" i="2"/>
  <c r="AX4" i="2"/>
  <c r="G14" i="3"/>
  <c r="G13" i="3"/>
  <c r="H12" i="3"/>
  <c r="H13" i="3"/>
  <c r="AK31" i="2"/>
  <c r="AZ29" i="2"/>
  <c r="AZ5" i="2"/>
  <c r="E14" i="2"/>
  <c r="B9" i="2"/>
  <c r="K5" i="2"/>
  <c r="B40" i="3"/>
  <c r="AX18" i="2"/>
  <c r="AZ31" i="2"/>
  <c r="K31" i="2"/>
  <c r="AZ7" i="2"/>
  <c r="K7" i="2"/>
  <c r="B15" i="2"/>
  <c r="AC9" i="2"/>
  <c r="BH21" i="2"/>
  <c r="AX19" i="2"/>
  <c r="G40" i="3"/>
  <c r="S21" i="2"/>
  <c r="I19" i="2"/>
  <c r="I18" i="2"/>
  <c r="I4" i="2"/>
  <c r="I40" i="3"/>
  <c r="BP44" i="2" l="1"/>
  <c r="BR44" i="2"/>
  <c r="BV44" i="2"/>
  <c r="AD31" i="2"/>
  <c r="BN44" i="2"/>
  <c r="BX44" i="2"/>
  <c r="Z31" i="2"/>
  <c r="AH31" i="2"/>
  <c r="BO20" i="2"/>
  <c r="BT20" i="2"/>
  <c r="AB31" i="2"/>
  <c r="AJ31" i="2"/>
  <c r="BP20" i="2"/>
  <c r="BV20" i="2"/>
  <c r="BT44" i="2"/>
  <c r="BR20" i="2"/>
  <c r="BW20" i="2"/>
  <c r="AF31" i="2"/>
  <c r="BN20" i="2"/>
  <c r="BS20" i="2"/>
  <c r="BX20" i="2"/>
  <c r="AA7" i="2"/>
  <c r="AE7" i="2"/>
  <c r="AI7" i="2"/>
  <c r="AB20" i="2"/>
  <c r="AF20" i="2"/>
  <c r="AJ20" i="2"/>
  <c r="Z44" i="2"/>
  <c r="AD44" i="2"/>
  <c r="AH44" i="2"/>
  <c r="AJ7" i="2"/>
  <c r="AB7" i="2"/>
  <c r="AF7" i="2"/>
  <c r="Y31" i="2"/>
  <c r="AC31" i="2"/>
  <c r="AG31" i="2"/>
  <c r="Y20" i="2"/>
  <c r="AC20" i="2"/>
  <c r="AG20" i="2"/>
  <c r="BQ20" i="2"/>
  <c r="BU20" i="2"/>
  <c r="AA44" i="2"/>
  <c r="AE44" i="2"/>
  <c r="AI44" i="2"/>
  <c r="BO44" i="2"/>
  <c r="BS44" i="2"/>
  <c r="BW44" i="2"/>
  <c r="Y7" i="2"/>
  <c r="AC7" i="2"/>
  <c r="AG7" i="2"/>
  <c r="Z20" i="2"/>
  <c r="AD20" i="2"/>
  <c r="AH20" i="2"/>
  <c r="AB44" i="2"/>
  <c r="AF44" i="2"/>
  <c r="AJ44" i="2"/>
  <c r="Z7" i="2"/>
  <c r="AD7" i="2"/>
  <c r="AA31" i="2"/>
  <c r="AE31" i="2"/>
  <c r="AA20" i="2"/>
  <c r="AE20" i="2"/>
  <c r="Y44" i="2"/>
  <c r="AC44" i="2"/>
  <c r="BQ44" i="2"/>
  <c r="BU44" i="2"/>
  <c r="BZ7" i="2" l="1"/>
  <c r="BZ31" i="2" l="1"/>
  <c r="BW7" i="2"/>
  <c r="BR7" i="2"/>
  <c r="BS7" i="2"/>
  <c r="BV7" i="2"/>
  <c r="BP7" i="2"/>
  <c r="BY7" i="2"/>
  <c r="BN7" i="2"/>
  <c r="BU7" i="2"/>
  <c r="BQ7" i="2"/>
  <c r="BT7" i="2"/>
  <c r="BO7" i="2"/>
  <c r="BU31" i="2" l="1"/>
  <c r="BW31" i="2"/>
  <c r="BY31" i="2"/>
  <c r="BN31" i="2"/>
  <c r="BP31" i="2"/>
  <c r="BQ31" i="2"/>
  <c r="BS31" i="2"/>
  <c r="BR31" i="2"/>
  <c r="BO31" i="2"/>
  <c r="BT31" i="2"/>
  <c r="BV31" i="2"/>
</calcChain>
</file>

<file path=xl/sharedStrings.xml><?xml version="1.0" encoding="utf-8"?>
<sst xmlns="http://schemas.openxmlformats.org/spreadsheetml/2006/main" count="184" uniqueCount="102">
  <si>
    <t>（摘要）</t>
  </si>
  <si>
    <t>支払者</t>
    <rPh sb="0" eb="2">
      <t>シハライ</t>
    </rPh>
    <rPh sb="2" eb="3">
      <t>シャ</t>
    </rPh>
    <phoneticPr fontId="2"/>
  </si>
  <si>
    <t>所在地</t>
    <rPh sb="0" eb="3">
      <t>ショザイチ</t>
    </rPh>
    <phoneticPr fontId="2"/>
  </si>
  <si>
    <t>年分</t>
    <rPh sb="0" eb="2">
      <t>ネンブン</t>
    </rPh>
    <phoneticPr fontId="2"/>
  </si>
  <si>
    <t>名称</t>
    <rPh sb="0" eb="2">
      <t>メイショウ</t>
    </rPh>
    <phoneticPr fontId="2"/>
  </si>
  <si>
    <t>電話</t>
    <rPh sb="0" eb="2">
      <t>デンワ</t>
    </rPh>
    <phoneticPr fontId="2"/>
  </si>
  <si>
    <t>平成</t>
    <rPh sb="0" eb="2">
      <t>ヘイセイ</t>
    </rPh>
    <phoneticPr fontId="2"/>
  </si>
  <si>
    <t>整理欄</t>
    <rPh sb="0" eb="2">
      <t>セイリ</t>
    </rPh>
    <rPh sb="2" eb="3">
      <t>ラン</t>
    </rPh>
    <phoneticPr fontId="2"/>
  </si>
  <si>
    <t>平成</t>
    <phoneticPr fontId="2"/>
  </si>
  <si>
    <t>氏名</t>
    <rPh sb="0" eb="2">
      <t>シメイ</t>
    </rPh>
    <phoneticPr fontId="2"/>
  </si>
  <si>
    <t>住所</t>
    <rPh sb="0" eb="2">
      <t>ジュウショ</t>
    </rPh>
    <phoneticPr fontId="2"/>
  </si>
  <si>
    <t>（電話）</t>
    <phoneticPr fontId="2"/>
  </si>
  <si>
    <t>住所（居所）
又は所在地</t>
    <phoneticPr fontId="2"/>
  </si>
  <si>
    <t>法人(個人)番号</t>
    <rPh sb="0" eb="2">
      <t>ホウジン</t>
    </rPh>
    <phoneticPr fontId="4"/>
  </si>
  <si>
    <t>個人番号又は法人番号</t>
    <rPh sb="4" eb="5">
      <t>マタ</t>
    </rPh>
    <rPh sb="6" eb="8">
      <t>ホウジン</t>
    </rPh>
    <rPh sb="8" eb="10">
      <t>バンゴウ</t>
    </rPh>
    <phoneticPr fontId="4"/>
  </si>
  <si>
    <t>氏名又は
名称</t>
    <phoneticPr fontId="2"/>
  </si>
  <si>
    <t>氏名又は
名称</t>
    <phoneticPr fontId="2"/>
  </si>
  <si>
    <t>支払者</t>
    <phoneticPr fontId="2"/>
  </si>
  <si>
    <t>支払を
受ける者</t>
    <phoneticPr fontId="2"/>
  </si>
  <si>
    <t>区分</t>
    <rPh sb="0" eb="2">
      <t>クブン</t>
    </rPh>
    <phoneticPr fontId="2"/>
  </si>
  <si>
    <t>細目</t>
    <rPh sb="0" eb="2">
      <t>サイモク</t>
    </rPh>
    <phoneticPr fontId="2"/>
  </si>
  <si>
    <t>支払金額</t>
    <rPh sb="0" eb="2">
      <t>シハライ</t>
    </rPh>
    <rPh sb="2" eb="4">
      <t>キンガク</t>
    </rPh>
    <phoneticPr fontId="2"/>
  </si>
  <si>
    <t>支払金額</t>
    <rPh sb="0" eb="2">
      <t>ｼﾊﾗｲ</t>
    </rPh>
    <rPh sb="2" eb="4">
      <t>ｷﾝｶﾞｸ</t>
    </rPh>
    <phoneticPr fontId="2" type="halfwidthKatakana"/>
  </si>
  <si>
    <t>マイナンバー</t>
    <phoneticPr fontId="2"/>
  </si>
  <si>
    <t>03-1234-5678</t>
    <phoneticPr fontId="2"/>
  </si>
  <si>
    <t>株式会社ＲＥＳＣＵＥ ＲＡＮＧＥＲＳ</t>
  </si>
  <si>
    <t>東京都○○区○○町1-2-3</t>
    <rPh sb="5" eb="6">
      <t>ク</t>
    </rPh>
    <rPh sb="8" eb="9">
      <t>マチ</t>
    </rPh>
    <phoneticPr fontId="1"/>
  </si>
  <si>
    <t>東京都△△区△△町4-5-6</t>
    <rPh sb="5" eb="6">
      <t>ク</t>
    </rPh>
    <rPh sb="8" eb="9">
      <t>マチ</t>
    </rPh>
    <phoneticPr fontId="1"/>
  </si>
  <si>
    <t>東京都○○区○○町7-8-9</t>
    <rPh sb="5" eb="6">
      <t>ク</t>
    </rPh>
    <rPh sb="8" eb="9">
      <t>マチ</t>
    </rPh>
    <phoneticPr fontId="1"/>
  </si>
  <si>
    <t>東京都△△区△△町10-11-12</t>
    <rPh sb="5" eb="6">
      <t>ク</t>
    </rPh>
    <rPh sb="8" eb="9">
      <t>マチ</t>
    </rPh>
    <phoneticPr fontId="1"/>
  </si>
  <si>
    <t>東京都△△区△△町13-14-15</t>
    <rPh sb="5" eb="6">
      <t>ク</t>
    </rPh>
    <rPh sb="8" eb="9">
      <t>マチ</t>
    </rPh>
    <phoneticPr fontId="1"/>
  </si>
  <si>
    <t>No.</t>
    <phoneticPr fontId="2"/>
  </si>
  <si>
    <t>東京都千代田区御助町1-2-3御助ビル4階</t>
    <rPh sb="0" eb="3">
      <t>ト</t>
    </rPh>
    <rPh sb="3" eb="7">
      <t>チヨダク</t>
    </rPh>
    <rPh sb="7" eb="9">
      <t>オタス</t>
    </rPh>
    <rPh sb="9" eb="10">
      <t>マチ</t>
    </rPh>
    <rPh sb="15" eb="17">
      <t>オタス</t>
    </rPh>
    <rPh sb="20" eb="21">
      <t>カイ</t>
    </rPh>
    <phoneticPr fontId="5"/>
  </si>
  <si>
    <t>署番号</t>
    <rPh sb="0" eb="1">
      <t>ショ</t>
    </rPh>
    <rPh sb="1" eb="3">
      <t>バンゴウ</t>
    </rPh>
    <phoneticPr fontId="4"/>
  </si>
  <si>
    <t>整理番号</t>
    <rPh sb="0" eb="2">
      <t>セイリ</t>
    </rPh>
    <rPh sb="2" eb="4">
      <t>バンゴウ</t>
    </rPh>
    <phoneticPr fontId="4"/>
  </si>
  <si>
    <t>左の色の部分以外はシートを保護してますので訂正はできません。(解除パスワードは"1111"です。)</t>
    <rPh sb="0" eb="1">
      <t>ヒダリ</t>
    </rPh>
    <rPh sb="2" eb="3">
      <t>イロ</t>
    </rPh>
    <rPh sb="4" eb="6">
      <t>ブブン</t>
    </rPh>
    <rPh sb="6" eb="8">
      <t>イガイ</t>
    </rPh>
    <phoneticPr fontId="4"/>
  </si>
  <si>
    <t>Excel2000で開くとシート全体が保護されてますので、保護を解除してください。</t>
    <rPh sb="10" eb="11">
      <t>ヒラ</t>
    </rPh>
    <rPh sb="16" eb="18">
      <t>ゼンタイ</t>
    </rPh>
    <rPh sb="19" eb="21">
      <t>ホゴ</t>
    </rPh>
    <rPh sb="29" eb="31">
      <t>ホゴ</t>
    </rPh>
    <rPh sb="32" eb="34">
      <t>カイジョ</t>
    </rPh>
    <phoneticPr fontId="4"/>
  </si>
  <si>
    <t>整理番号</t>
    <rPh sb="0" eb="2">
      <t>セイリ</t>
    </rPh>
    <rPh sb="2" eb="4">
      <t>バンゴウ</t>
    </rPh>
    <phoneticPr fontId="2"/>
  </si>
  <si>
    <t>署番号</t>
    <phoneticPr fontId="2"/>
  </si>
  <si>
    <t>色のみに入力する。</t>
    <rPh sb="0" eb="1">
      <t>イロ</t>
    </rPh>
    <rPh sb="4" eb="6">
      <t>ニュウリョク</t>
    </rPh>
    <phoneticPr fontId="4"/>
  </si>
  <si>
    <t>色はドロップダウンリストから選択するか記載する事項を入力してください。</t>
    <rPh sb="0" eb="1">
      <t>イロ</t>
    </rPh>
    <rPh sb="14" eb="16">
      <t>センタク</t>
    </rPh>
    <rPh sb="19" eb="21">
      <t>キサイ</t>
    </rPh>
    <rPh sb="23" eb="25">
      <t>ジコウ</t>
    </rPh>
    <rPh sb="24" eb="25">
      <t>キジ</t>
    </rPh>
    <rPh sb="26" eb="28">
      <t>ニュウリョク</t>
    </rPh>
    <phoneticPr fontId="4"/>
  </si>
  <si>
    <t>印刷</t>
    <rPh sb="0" eb="2">
      <t>インサツ</t>
    </rPh>
    <phoneticPr fontId="2"/>
  </si>
  <si>
    <t>左</t>
    <rPh sb="0" eb="1">
      <t>ヒダリ</t>
    </rPh>
    <phoneticPr fontId="2"/>
  </si>
  <si>
    <t>右</t>
    <rPh sb="0" eb="1">
      <t>ミギ</t>
    </rPh>
    <phoneticPr fontId="2"/>
  </si>
  <si>
    <t>一度に4つのデータが印刷されますので4つ毎に印刷したい番号を変えてください。</t>
    <rPh sb="10" eb="12">
      <t>インサツ</t>
    </rPh>
    <rPh sb="20" eb="21">
      <t>ゴト</t>
    </rPh>
    <phoneticPr fontId="2"/>
  </si>
  <si>
    <t>印刷開始データ</t>
    <rPh sb="0" eb="2">
      <t>インサツ</t>
    </rPh>
    <rPh sb="2" eb="4">
      <t>カイシ</t>
    </rPh>
    <phoneticPr fontId="2"/>
  </si>
  <si>
    <t>支払者の支払調書のデータ</t>
    <phoneticPr fontId="2"/>
  </si>
  <si>
    <t>←ドロップダウンリストから"印刷する"or"印刷しない"を選択する。</t>
    <rPh sb="14" eb="16">
      <t>インサツ</t>
    </rPh>
    <rPh sb="22" eb="24">
      <t>インサツ</t>
    </rPh>
    <rPh sb="29" eb="31">
      <t>センタク</t>
    </rPh>
    <phoneticPr fontId="4"/>
  </si>
  <si>
    <t>マイナンバーは、個人情報保護のために、その管理に当たっては、安全管理措置などが義務付けられます。</t>
    <phoneticPr fontId="4"/>
  </si>
  <si>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4"/>
  </si>
  <si>
    <t>支払調書の1段目のみの印刷ツールです。</t>
    <rPh sb="11" eb="13">
      <t>インサツ</t>
    </rPh>
    <phoneticPr fontId="2"/>
  </si>
  <si>
    <t>2段目以降の金額等は印刷データを選択してその都度は支払調書に直接入力してください。</t>
    <rPh sb="6" eb="8">
      <t>キンガク</t>
    </rPh>
    <rPh sb="8" eb="9">
      <t>トウ</t>
    </rPh>
    <rPh sb="25" eb="27">
      <t>シハライ</t>
    </rPh>
    <rPh sb="27" eb="29">
      <t>チョウショ</t>
    </rPh>
    <rPh sb="30" eb="32">
      <t>チョクセツ</t>
    </rPh>
    <phoneticPr fontId="2"/>
  </si>
  <si>
    <t>年分 　不 動 産 の 使 用 料 等 の 支 払 調 書</t>
    <rPh sb="4" eb="5">
      <t>フ</t>
    </rPh>
    <rPh sb="6" eb="7">
      <t>ドウ</t>
    </rPh>
    <rPh sb="8" eb="9">
      <t>サン</t>
    </rPh>
    <rPh sb="12" eb="13">
      <t>シ</t>
    </rPh>
    <rPh sb="14" eb="15">
      <t>ヨウ</t>
    </rPh>
    <rPh sb="16" eb="17">
      <t>リョウ</t>
    </rPh>
    <rPh sb="18" eb="19">
      <t>トウ</t>
    </rPh>
    <phoneticPr fontId="2"/>
  </si>
  <si>
    <t>物件の所在地</t>
    <rPh sb="0" eb="2">
      <t>ブッケン</t>
    </rPh>
    <rPh sb="3" eb="6">
      <t>ショザイチ</t>
    </rPh>
    <phoneticPr fontId="2"/>
  </si>
  <si>
    <t>物件の所在地</t>
    <rPh sb="0" eb="2">
      <t>ﾌﾞｯｹﾝ</t>
    </rPh>
    <rPh sb="3" eb="6">
      <t>ｼｮｻﾞｲﾁ</t>
    </rPh>
    <phoneticPr fontId="2" type="halfwidthKatakana"/>
  </si>
  <si>
    <t>詳細</t>
    <rPh sb="0" eb="2">
      <t>ｼｮｳｻｲ</t>
    </rPh>
    <phoneticPr fontId="2" type="halfwidthKatakana"/>
  </si>
  <si>
    <t>計算の基礎</t>
    <rPh sb="0" eb="2">
      <t>ケイサン</t>
    </rPh>
    <rPh sb="3" eb="5">
      <t>キソ</t>
    </rPh>
    <phoneticPr fontId="1"/>
  </si>
  <si>
    <t>計算の基礎</t>
    <rPh sb="0" eb="2">
      <t>ケイサン</t>
    </rPh>
    <rPh sb="3" eb="5">
      <t>キソ</t>
    </rPh>
    <phoneticPr fontId="2"/>
  </si>
  <si>
    <t>あっせん</t>
    <phoneticPr fontId="2"/>
  </si>
  <si>
    <t>をした者</t>
    <rPh sb="3" eb="4">
      <t>モノ</t>
    </rPh>
    <phoneticPr fontId="2"/>
  </si>
  <si>
    <t>個人番号又は法人番号</t>
    <phoneticPr fontId="2"/>
  </si>
  <si>
    <t>あっせん手数料</t>
    <rPh sb="4" eb="7">
      <t>テスウリョウ</t>
    </rPh>
    <phoneticPr fontId="2"/>
  </si>
  <si>
    <t>支払確定
年月日</t>
    <rPh sb="0" eb="2">
      <t>シハライ</t>
    </rPh>
    <rPh sb="2" eb="4">
      <t>カクテイ</t>
    </rPh>
    <rPh sb="5" eb="8">
      <t>ネン</t>
    </rPh>
    <phoneticPr fontId="2"/>
  </si>
  <si>
    <t>氏名又は
名称</t>
    <phoneticPr fontId="2"/>
  </si>
  <si>
    <t>住所（居所）
又は所在地</t>
    <phoneticPr fontId="2"/>
  </si>
  <si>
    <t>摘要</t>
    <rPh sb="0" eb="2">
      <t>テキヨウ</t>
    </rPh>
    <phoneticPr fontId="2"/>
  </si>
  <si>
    <t>不動産太郎</t>
    <rPh sb="0" eb="3">
      <t>フドウサン</t>
    </rPh>
    <rPh sb="3" eb="5">
      <t>タロウ</t>
    </rPh>
    <phoneticPr fontId="1"/>
  </si>
  <si>
    <t>不動産の使用料等の支払調書のデータ</t>
    <rPh sb="0" eb="3">
      <t>フドウサン</t>
    </rPh>
    <rPh sb="4" eb="7">
      <t>シヨウリョウ</t>
    </rPh>
    <rPh sb="7" eb="8">
      <t>トウ</t>
    </rPh>
    <phoneticPr fontId="2"/>
  </si>
  <si>
    <t>不動産次郎</t>
    <rPh sb="3" eb="5">
      <t>ジロウ</t>
    </rPh>
    <phoneticPr fontId="1"/>
  </si>
  <si>
    <t>不動産三郎</t>
    <rPh sb="3" eb="5">
      <t>サブロウ</t>
    </rPh>
    <phoneticPr fontId="1"/>
  </si>
  <si>
    <t>不動産五郎</t>
    <rPh sb="3" eb="5">
      <t>ゴロウ</t>
    </rPh>
    <phoneticPr fontId="2"/>
  </si>
  <si>
    <t>200,000×12</t>
    <phoneticPr fontId="2"/>
  </si>
  <si>
    <t>500,000×12</t>
    <phoneticPr fontId="2"/>
  </si>
  <si>
    <t>400,000×12</t>
    <phoneticPr fontId="2"/>
  </si>
  <si>
    <t>300,000×12</t>
    <phoneticPr fontId="2"/>
  </si>
  <si>
    <t>権利金</t>
  </si>
  <si>
    <t>更新料</t>
  </si>
  <si>
    <t>○○区○○町1-2-3</t>
    <rPh sb="2" eb="3">
      <t>ク</t>
    </rPh>
    <rPh sb="5" eb="6">
      <t>マチ</t>
    </rPh>
    <phoneticPr fontId="1"/>
  </si>
  <si>
    <t>△△区△△町4-5-6</t>
    <rPh sb="2" eb="3">
      <t>ク</t>
    </rPh>
    <rPh sb="5" eb="6">
      <t>マチ</t>
    </rPh>
    <phoneticPr fontId="1"/>
  </si>
  <si>
    <t>○○区○○町7-8-9</t>
    <rPh sb="2" eb="3">
      <t>ク</t>
    </rPh>
    <rPh sb="5" eb="6">
      <t>マチ</t>
    </rPh>
    <phoneticPr fontId="1"/>
  </si>
  <si>
    <t>△△区△△町10-11-12</t>
    <rPh sb="2" eb="3">
      <t>ク</t>
    </rPh>
    <rPh sb="5" eb="6">
      <t>マチ</t>
    </rPh>
    <phoneticPr fontId="1"/>
  </si>
  <si>
    <t>△△区△△町13-14-15</t>
    <rPh sb="2" eb="3">
      <t>ク</t>
    </rPh>
    <rPh sb="5" eb="6">
      <t>マチ</t>
    </rPh>
    <phoneticPr fontId="1"/>
  </si>
  <si>
    <t>100,000×12</t>
    <phoneticPr fontId="2"/>
  </si>
  <si>
    <t>下記印刷開始データのドロップダウンリストから印刷をしたい番号を選択し、</t>
    <rPh sb="0" eb="2">
      <t>カキ</t>
    </rPh>
    <rPh sb="2" eb="4">
      <t>インサツ</t>
    </rPh>
    <rPh sb="4" eb="6">
      <t>カイシ</t>
    </rPh>
    <phoneticPr fontId="2"/>
  </si>
  <si>
    <t>駐車場</t>
    <rPh sb="0" eb="2">
      <t>チュウシャ</t>
    </rPh>
    <rPh sb="2" eb="3">
      <t>ジョウ</t>
    </rPh>
    <phoneticPr fontId="2"/>
  </si>
  <si>
    <t>印字する</t>
  </si>
  <si>
    <t>摘要1</t>
    <rPh sb="0" eb="2">
      <t>テキヨウ</t>
    </rPh>
    <phoneticPr fontId="2"/>
  </si>
  <si>
    <t>摘要2</t>
    <rPh sb="0" eb="2">
      <t>テキヨウ</t>
    </rPh>
    <phoneticPr fontId="2"/>
  </si>
  <si>
    <t>摘要3</t>
    <rPh sb="0" eb="2">
      <t>テキヨウ</t>
    </rPh>
    <phoneticPr fontId="2"/>
  </si>
  <si>
    <t>摘要4</t>
    <rPh sb="0" eb="2">
      <t>テキヨウ</t>
    </rPh>
    <phoneticPr fontId="2"/>
  </si>
  <si>
    <t>摘要5</t>
    <rPh sb="0" eb="2">
      <t>テキヨウ</t>
    </rPh>
    <phoneticPr fontId="2"/>
  </si>
  <si>
    <t>2F</t>
    <phoneticPr fontId="2"/>
  </si>
  <si>
    <t>3F</t>
  </si>
  <si>
    <t>4F</t>
  </si>
  <si>
    <t>5F</t>
  </si>
  <si>
    <t>地代</t>
  </si>
  <si>
    <t>家賃</t>
  </si>
  <si>
    <t>不動産四郎</t>
    <rPh sb="0" eb="3">
      <t>フドウサン</t>
    </rPh>
    <rPh sb="3" eb="5">
      <t>シロウ</t>
    </rPh>
    <phoneticPr fontId="1"/>
  </si>
  <si>
    <t>DATAは"fud-data"シートから転記されます。シートを保護してますので訂正はできません。(解除パスワードは"1111"です。)</t>
    <rPh sb="20" eb="22">
      <t>テンキ</t>
    </rPh>
    <rPh sb="31" eb="33">
      <t>ホゴ</t>
    </rPh>
    <rPh sb="39" eb="41">
      <t>テイセイ</t>
    </rPh>
    <rPh sb="49" eb="51">
      <t>カイジョ</t>
    </rPh>
    <phoneticPr fontId="6"/>
  </si>
  <si>
    <t>支払調書の1段目のみの印刷ツールです。2段目以降とあっせん部分は手入力でお願いします。</t>
    <rPh sb="11" eb="13">
      <t>インサツ</t>
    </rPh>
    <rPh sb="20" eb="22">
      <t>ダンメ</t>
    </rPh>
    <rPh sb="22" eb="24">
      <t>イコウ</t>
    </rPh>
    <rPh sb="29" eb="31">
      <t>ブブン</t>
    </rPh>
    <rPh sb="32" eb="33">
      <t>テ</t>
    </rPh>
    <rPh sb="33" eb="35">
      <t>ニュウリョク</t>
    </rPh>
    <rPh sb="37" eb="38">
      <t>ネガ</t>
    </rPh>
    <phoneticPr fontId="2"/>
  </si>
  <si>
    <t>"fud"のシート見出しをクリックして支払調書を開いて印刷をする。</t>
    <phoneticPr fontId="2"/>
  </si>
  <si>
    <t>v4.01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</si>
</sst>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411]ge\.m\.d;@"/>
    <numFmt numFmtId="177" formatCode="0\ \ 0000\ \ 0000\ \ 0000"/>
    <numFmt numFmtId="178" formatCode="[&lt;=999]000;[&lt;=9999]000\-00;000\-0000"/>
    <numFmt numFmtId="179" formatCode="000\-0000"/>
    <numFmt numFmtId="180" formatCode="00000"/>
    <numFmt numFmtId="181" formatCode="00000000"/>
    <numFmt numFmtId="182" formatCode="0\ 0\ 0\ 0\ 0"/>
    <numFmt numFmtId="183" formatCode="0\ 0\ 0\ 0\ 0\ 0\ 0\ 0"/>
  </numFmts>
  <fonts count="23">
    <font>
      <sz val="10"/>
      <color theme="1"/>
      <name val="MS UI Gothic"/>
      <family val="3"/>
      <charset val="128"/>
    </font>
    <font>
      <b/>
      <sz val="18"/>
      <color indexed="56"/>
      <name val="ＭＳ Ｐゴシック"/>
      <family val="3"/>
      <charset val="128"/>
    </font>
    <font>
      <sz val="6"/>
      <name val="MS UI Gothic"/>
      <family val="3"/>
      <charset val="128"/>
    </font>
    <font>
      <sz val="9"/>
      <name val="MS UI Gothic"/>
      <family val="3"/>
      <charset val="128"/>
    </font>
    <font>
      <sz val="6"/>
      <name val="ＭＳ Ｐ明朝"/>
      <family val="1"/>
      <charset val="128"/>
    </font>
    <font>
      <b/>
      <sz val="10"/>
      <color indexed="52"/>
      <name val="MS UI Gothic"/>
      <family val="3"/>
      <charset val="128"/>
    </font>
    <font>
      <sz val="10"/>
      <color indexed="10"/>
      <name val="MS UI Gothic"/>
      <family val="3"/>
      <charset val="128"/>
    </font>
    <font>
      <sz val="10"/>
      <name val="ＭＳ 明朝"/>
      <family val="1"/>
      <charset val="128"/>
    </font>
    <font>
      <sz val="9"/>
      <color indexed="10"/>
      <name val="MS UI Gothic"/>
      <family val="3"/>
      <charset val="128"/>
    </font>
    <font>
      <b/>
      <sz val="9"/>
      <color indexed="9"/>
      <name val="MS UI Gothic"/>
      <family val="3"/>
      <charset val="128"/>
    </font>
    <font>
      <sz val="10"/>
      <color theme="1"/>
      <name val="MS UI Gothic"/>
      <family val="3"/>
      <charset val="128"/>
    </font>
    <font>
      <sz val="10"/>
      <color rgb="FFFF0000"/>
      <name val="MS UI Gothic"/>
      <family val="3"/>
      <charset val="128"/>
    </font>
    <font>
      <sz val="12"/>
      <color theme="1"/>
      <name val="MS UI Gothic"/>
      <family val="3"/>
      <charset val="128"/>
    </font>
    <font>
      <sz val="20"/>
      <color theme="1"/>
      <name val="MS UI Gothic"/>
      <family val="3"/>
      <charset val="128"/>
    </font>
    <font>
      <sz val="9"/>
      <color theme="1"/>
      <name val="MS UI Gothic"/>
      <family val="3"/>
      <charset val="128"/>
    </font>
    <font>
      <sz val="16"/>
      <color theme="1"/>
      <name val="MS UI Gothic"/>
      <family val="3"/>
      <charset val="128"/>
    </font>
    <font>
      <sz val="8"/>
      <color theme="1"/>
      <name val="MS UI Gothic"/>
      <family val="3"/>
      <charset val="128"/>
    </font>
    <font>
      <sz val="3"/>
      <color theme="1"/>
      <name val="MS UI Gothic"/>
      <family val="3"/>
      <charset val="128"/>
    </font>
    <font>
      <sz val="11"/>
      <color theme="1"/>
      <name val="MS UI Gothic"/>
      <family val="3"/>
      <charset val="128"/>
    </font>
    <font>
      <b/>
      <sz val="9"/>
      <color rgb="FFFF0000"/>
      <name val="MS UI Gothic"/>
      <family val="3"/>
      <charset val="128"/>
    </font>
    <font>
      <sz val="9"/>
      <color rgb="FFFF0000"/>
      <name val="MS UI Gothic"/>
      <family val="3"/>
      <charset val="128"/>
    </font>
    <font>
      <sz val="14"/>
      <color theme="1"/>
      <name val="MS UI Gothic"/>
      <family val="3"/>
      <charset val="128"/>
    </font>
    <font>
      <sz val="9"/>
      <color theme="0" tint="-0.249977111117893"/>
      <name val="MS UI Gothic"/>
      <family val="3"/>
      <charset val="128"/>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9"/>
      </right>
      <top style="thin">
        <color indexed="9"/>
      </top>
      <bottom/>
      <diagonal/>
    </border>
    <border>
      <left style="thin">
        <color indexed="9"/>
      </left>
      <right/>
      <top style="thin">
        <color indexed="9"/>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9"/>
      </right>
      <top/>
      <bottom style="thin">
        <color indexed="9"/>
      </bottom>
      <diagonal/>
    </border>
    <border>
      <left style="thin">
        <color indexed="9"/>
      </left>
      <right/>
      <top/>
      <bottom style="thin">
        <color indexed="9"/>
      </bottom>
      <diagonal/>
    </border>
    <border>
      <left/>
      <right style="thin">
        <color indexed="64"/>
      </right>
      <top/>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0" fillId="0" borderId="0" applyFont="0" applyFill="0" applyBorder="0" applyAlignment="0" applyProtection="0">
      <alignment vertical="center"/>
    </xf>
    <xf numFmtId="0" fontId="7" fillId="0" borderId="0"/>
  </cellStyleXfs>
  <cellXfs count="274">
    <xf numFmtId="0" fontId="0" fillId="0" borderId="0" xfId="0">
      <alignment vertical="center"/>
    </xf>
    <xf numFmtId="0" fontId="0" fillId="0" borderId="0" xfId="0" applyFont="1">
      <alignment vertical="center"/>
    </xf>
    <xf numFmtId="177" fontId="3" fillId="2" borderId="1" xfId="0" applyNumberFormat="1" applyFont="1" applyFill="1" applyBorder="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vertical="center"/>
    </xf>
    <xf numFmtId="0" fontId="0" fillId="0" borderId="2" xfId="0" applyFont="1" applyBorder="1" applyAlignment="1">
      <alignment vertical="center"/>
    </xf>
    <xf numFmtId="0" fontId="0" fillId="0" borderId="2" xfId="0" applyFont="1" applyBorder="1" applyAlignment="1">
      <alignment horizontal="left" vertical="center" inden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3" xfId="0" applyFont="1" applyBorder="1" applyAlignment="1">
      <alignment horizontal="left" vertical="center" indent="1"/>
    </xf>
    <xf numFmtId="0" fontId="14" fillId="0" borderId="3" xfId="0" applyFont="1" applyBorder="1" applyAlignment="1">
      <alignment horizontal="left" vertical="center"/>
    </xf>
    <xf numFmtId="0" fontId="14" fillId="0" borderId="4" xfId="0" applyFont="1" applyBorder="1" applyAlignment="1">
      <alignment horizontal="left" vertical="center" indent="1"/>
    </xf>
    <xf numFmtId="0" fontId="16" fillId="0" borderId="0" xfId="0" applyFont="1" applyFill="1" applyAlignment="1">
      <alignment vertical="center"/>
    </xf>
    <xf numFmtId="0" fontId="18" fillId="0" borderId="0" xfId="0" applyFont="1" applyAlignment="1">
      <alignment vertical="center"/>
    </xf>
    <xf numFmtId="0" fontId="0" fillId="0" borderId="5" xfId="0" applyFont="1" applyBorder="1" applyAlignment="1">
      <alignment vertical="center"/>
    </xf>
    <xf numFmtId="0" fontId="0" fillId="0" borderId="6" xfId="0" applyFont="1" applyBorder="1" applyAlignment="1">
      <alignment horizontal="left" vertical="center" indent="1"/>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16" fillId="0" borderId="5" xfId="0" applyFont="1" applyBorder="1" applyAlignment="1">
      <alignment horizontal="left" vertical="center" wrapText="1" indent="1"/>
    </xf>
    <xf numFmtId="0" fontId="16" fillId="0" borderId="6" xfId="0" applyFont="1" applyBorder="1" applyAlignment="1">
      <alignment horizontal="left" vertical="center" wrapText="1" indent="1"/>
    </xf>
    <xf numFmtId="0" fontId="16" fillId="0" borderId="6" xfId="0" applyFont="1" applyBorder="1" applyAlignment="1">
      <alignment vertical="center"/>
    </xf>
    <xf numFmtId="0" fontId="16" fillId="0" borderId="6" xfId="0" applyFont="1" applyBorder="1" applyAlignment="1">
      <alignment horizontal="left" vertical="center"/>
    </xf>
    <xf numFmtId="0" fontId="16" fillId="0" borderId="6" xfId="0" applyFont="1" applyBorder="1" applyAlignment="1">
      <alignment horizontal="right" vertical="center"/>
    </xf>
    <xf numFmtId="0" fontId="16" fillId="0" borderId="8" xfId="0" applyFont="1" applyBorder="1" applyAlignment="1">
      <alignment horizontal="left" vertical="center"/>
    </xf>
    <xf numFmtId="0" fontId="0" fillId="0" borderId="0" xfId="0" applyFont="1" applyAlignment="1">
      <alignment horizontal="center" vertical="center"/>
    </xf>
    <xf numFmtId="177" fontId="3" fillId="4"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0" fillId="0" borderId="0" xfId="0" applyFont="1" applyFill="1" applyAlignment="1">
      <alignment vertical="center"/>
    </xf>
    <xf numFmtId="0" fontId="12" fillId="0" borderId="0" xfId="0" applyFont="1" applyFill="1" applyAlignment="1">
      <alignment vertical="center"/>
    </xf>
    <xf numFmtId="0" fontId="0" fillId="0" borderId="2" xfId="0" applyFont="1" applyFill="1" applyBorder="1" applyAlignment="1">
      <alignment horizontal="left" vertical="center" indent="1"/>
    </xf>
    <xf numFmtId="0" fontId="0" fillId="0" borderId="9" xfId="0" applyFont="1" applyFill="1" applyBorder="1" applyAlignment="1">
      <alignment horizontal="left" vertical="center" indent="1"/>
    </xf>
    <xf numFmtId="0" fontId="0" fillId="0" borderId="2" xfId="0" applyFont="1" applyFill="1" applyBorder="1" applyAlignment="1">
      <alignment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3" xfId="0" applyFont="1" applyFill="1" applyBorder="1" applyAlignment="1">
      <alignment vertical="center"/>
    </xf>
    <xf numFmtId="0" fontId="14" fillId="0" borderId="3" xfId="0" applyFont="1" applyFill="1" applyBorder="1" applyAlignment="1">
      <alignment horizontal="left" vertical="center" indent="1"/>
    </xf>
    <xf numFmtId="0" fontId="14" fillId="0" borderId="4" xfId="0" applyFont="1" applyFill="1" applyBorder="1" applyAlignment="1">
      <alignment horizontal="left" vertical="center" indent="1"/>
    </xf>
    <xf numFmtId="0" fontId="3" fillId="0" borderId="10" xfId="0" applyNumberFormat="1" applyFont="1" applyFill="1" applyBorder="1" applyAlignment="1" applyProtection="1">
      <alignment horizontal="center" vertical="center"/>
      <protection hidden="1"/>
    </xf>
    <xf numFmtId="0" fontId="3" fillId="0" borderId="11" xfId="0" applyNumberFormat="1" applyFont="1" applyFill="1" applyBorder="1" applyAlignment="1" applyProtection="1">
      <alignment horizontal="center" vertical="center"/>
      <protection hidden="1"/>
    </xf>
    <xf numFmtId="0" fontId="3" fillId="0" borderId="12" xfId="0" applyNumberFormat="1" applyFont="1" applyFill="1" applyBorder="1" applyAlignment="1" applyProtection="1">
      <alignment horizontal="center" vertical="center"/>
      <protection hidden="1"/>
    </xf>
    <xf numFmtId="0" fontId="3" fillId="0" borderId="13" xfId="0" applyNumberFormat="1" applyFont="1" applyFill="1" applyBorder="1" applyAlignment="1" applyProtection="1">
      <alignment horizontal="center" vertical="center"/>
      <protection hidden="1"/>
    </xf>
    <xf numFmtId="0" fontId="3" fillId="0" borderId="9" xfId="0" applyNumberFormat="1" applyFont="1" applyFill="1" applyBorder="1" applyAlignment="1" applyProtection="1">
      <alignment horizontal="center" vertical="center"/>
      <protection hidden="1"/>
    </xf>
    <xf numFmtId="0" fontId="0" fillId="0" borderId="5" xfId="0" applyFont="1" applyFill="1" applyBorder="1" applyAlignment="1">
      <alignment vertical="center"/>
    </xf>
    <xf numFmtId="0" fontId="0" fillId="0" borderId="6" xfId="0" applyFont="1" applyFill="1" applyBorder="1" applyAlignment="1">
      <alignment horizontal="left" vertical="center" indent="1"/>
    </xf>
    <xf numFmtId="0" fontId="3" fillId="0" borderId="1" xfId="0" applyNumberFormat="1" applyFont="1" applyFill="1" applyBorder="1" applyAlignment="1" applyProtection="1">
      <alignment horizontal="center" vertical="center"/>
      <protection hidden="1"/>
    </xf>
    <xf numFmtId="0" fontId="16" fillId="0" borderId="5" xfId="0" applyFont="1" applyFill="1" applyBorder="1" applyAlignment="1">
      <alignment horizontal="left" vertical="center" wrapText="1" indent="1"/>
    </xf>
    <xf numFmtId="0" fontId="16" fillId="0" borderId="6" xfId="0" applyFont="1" applyFill="1" applyBorder="1" applyAlignment="1">
      <alignment horizontal="left" vertical="center" wrapText="1" indent="1"/>
    </xf>
    <xf numFmtId="0" fontId="16" fillId="0" borderId="6" xfId="0" applyFont="1" applyFill="1" applyBorder="1" applyAlignment="1">
      <alignment vertical="center"/>
    </xf>
    <xf numFmtId="0" fontId="16" fillId="0" borderId="6" xfId="0" applyFont="1" applyFill="1" applyBorder="1" applyAlignment="1">
      <alignment horizontal="left" vertical="center"/>
    </xf>
    <xf numFmtId="0" fontId="16" fillId="0" borderId="6" xfId="0" applyFont="1" applyFill="1" applyBorder="1" applyAlignment="1">
      <alignment horizontal="right" vertical="center"/>
    </xf>
    <xf numFmtId="0" fontId="16" fillId="0" borderId="8" xfId="0" applyFont="1" applyFill="1" applyBorder="1" applyAlignment="1">
      <alignment horizontal="left" vertical="center"/>
    </xf>
    <xf numFmtId="0" fontId="17" fillId="0" borderId="0" xfId="0" applyFont="1" applyFill="1" applyAlignment="1">
      <alignment vertical="center"/>
    </xf>
    <xf numFmtId="0" fontId="3" fillId="0" borderId="1" xfId="0" applyFont="1" applyBorder="1" applyAlignment="1">
      <alignment horizontal="distributed" vertical="center"/>
    </xf>
    <xf numFmtId="178" fontId="14" fillId="0" borderId="10" xfId="0" applyNumberFormat="1" applyFont="1" applyBorder="1" applyAlignment="1">
      <alignment horizontal="center" vertical="center"/>
    </xf>
    <xf numFmtId="178" fontId="14" fillId="0" borderId="2" xfId="0" applyNumberFormat="1" applyFont="1" applyBorder="1" applyAlignment="1">
      <alignment horizontal="center" vertical="center"/>
    </xf>
    <xf numFmtId="179" fontId="14" fillId="0" borderId="10" xfId="0" applyNumberFormat="1" applyFont="1" applyBorder="1" applyAlignment="1">
      <alignment horizontal="center" vertical="center"/>
    </xf>
    <xf numFmtId="179" fontId="14" fillId="0" borderId="2" xfId="0" applyNumberFormat="1" applyFont="1" applyBorder="1" applyAlignment="1">
      <alignment horizontal="center" vertical="center"/>
    </xf>
    <xf numFmtId="178" fontId="14" fillId="0" borderId="10" xfId="0" applyNumberFormat="1" applyFont="1" applyFill="1" applyBorder="1" applyAlignment="1">
      <alignment horizontal="center" vertical="center"/>
    </xf>
    <xf numFmtId="178" fontId="14" fillId="0" borderId="2" xfId="0" applyNumberFormat="1" applyFont="1" applyFill="1" applyBorder="1" applyAlignment="1">
      <alignment horizontal="center" vertical="center"/>
    </xf>
    <xf numFmtId="180" fontId="3" fillId="2" borderId="1" xfId="0" applyNumberFormat="1" applyFont="1" applyFill="1" applyBorder="1" applyAlignment="1">
      <alignment horizontal="center" vertical="center"/>
    </xf>
    <xf numFmtId="181" fontId="3" fillId="2" borderId="1"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8" fillId="0" borderId="0" xfId="2" applyFont="1" applyAlignment="1">
      <alignment vertical="center"/>
    </xf>
    <xf numFmtId="0" fontId="3" fillId="2" borderId="1" xfId="2" applyFont="1" applyFill="1" applyBorder="1" applyAlignment="1">
      <alignment horizontal="left" vertical="center"/>
    </xf>
    <xf numFmtId="0" fontId="3" fillId="0" borderId="0" xfId="2" applyFont="1" applyAlignment="1">
      <alignment vertical="center"/>
    </xf>
    <xf numFmtId="0" fontId="3" fillId="3" borderId="1" xfId="2" applyFont="1" applyFill="1" applyBorder="1" applyAlignment="1">
      <alignment vertical="center"/>
    </xf>
    <xf numFmtId="0" fontId="3" fillId="0" borderId="0" xfId="2" applyFont="1" applyAlignment="1">
      <alignment horizontal="left" vertical="center"/>
    </xf>
    <xf numFmtId="0" fontId="3" fillId="0" borderId="0" xfId="0" applyFont="1" applyAlignment="1">
      <alignment vertical="center"/>
    </xf>
    <xf numFmtId="0" fontId="14" fillId="0" borderId="0" xfId="0" applyFont="1">
      <alignment vertical="center"/>
    </xf>
    <xf numFmtId="0" fontId="19" fillId="0" borderId="0" xfId="0" applyFont="1" applyAlignment="1">
      <alignment horizontal="right" vertical="center"/>
    </xf>
    <xf numFmtId="0" fontId="19" fillId="5" borderId="1" xfId="0" applyFont="1" applyFill="1" applyBorder="1" applyAlignment="1">
      <alignment horizontal="center" vertical="center"/>
    </xf>
    <xf numFmtId="0" fontId="14" fillId="0" borderId="14" xfId="0" applyFont="1" applyBorder="1" applyAlignment="1">
      <alignment horizontal="center" vertical="center"/>
    </xf>
    <xf numFmtId="0" fontId="19" fillId="6" borderId="1" xfId="0" applyFont="1" applyFill="1" applyBorder="1" applyAlignment="1">
      <alignment horizontal="center" vertical="center"/>
    </xf>
    <xf numFmtId="0" fontId="3" fillId="0" borderId="0" xfId="0" applyFont="1" applyAlignment="1">
      <alignment horizontal="left" vertical="center"/>
    </xf>
    <xf numFmtId="0" fontId="18" fillId="0" borderId="2" xfId="0" applyFont="1" applyBorder="1" applyAlignment="1">
      <alignment horizontal="left" vertical="center"/>
    </xf>
    <xf numFmtId="0" fontId="18" fillId="0" borderId="6" xfId="0" applyFont="1" applyBorder="1" applyAlignment="1">
      <alignment horizontal="left" vertical="top"/>
    </xf>
    <xf numFmtId="0" fontId="18" fillId="0" borderId="2" xfId="0" applyFont="1" applyFill="1" applyBorder="1" applyAlignment="1">
      <alignment horizontal="left" vertical="center"/>
    </xf>
    <xf numFmtId="0" fontId="18" fillId="0" borderId="6" xfId="0" applyFont="1" applyFill="1" applyBorder="1" applyAlignment="1">
      <alignment horizontal="left" vertical="top"/>
    </xf>
    <xf numFmtId="0" fontId="8" fillId="0" borderId="0" xfId="0" applyFont="1" applyAlignment="1">
      <alignment vertical="center"/>
    </xf>
    <xf numFmtId="0" fontId="14" fillId="0" borderId="0" xfId="0" applyFont="1" applyAlignment="1">
      <alignment horizontal="right" vertical="center"/>
    </xf>
    <xf numFmtId="0" fontId="14" fillId="0" borderId="0" xfId="0" applyFont="1" applyFill="1">
      <alignment vertical="center"/>
    </xf>
    <xf numFmtId="0" fontId="14" fillId="4" borderId="1" xfId="0" applyFont="1" applyFill="1" applyBorder="1" applyAlignment="1">
      <alignment horizontal="center" vertical="center"/>
    </xf>
    <xf numFmtId="0" fontId="14" fillId="0" borderId="1" xfId="0" applyFont="1" applyBorder="1" applyAlignment="1">
      <alignment horizontal="distributed" vertical="center"/>
    </xf>
    <xf numFmtId="0" fontId="9" fillId="7" borderId="15" xfId="0" applyFont="1" applyFill="1" applyBorder="1" applyAlignment="1">
      <alignment horizontal="center" vertical="center"/>
    </xf>
    <xf numFmtId="0" fontId="9" fillId="7" borderId="1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38" fontId="14" fillId="0" borderId="1" xfId="1" applyFont="1" applyBorder="1" applyAlignment="1">
      <alignment horizontal="center" vertical="center"/>
    </xf>
    <xf numFmtId="0" fontId="14" fillId="0" borderId="0" xfId="0" applyFont="1" applyAlignment="1">
      <alignment horizontal="center" vertical="center"/>
    </xf>
    <xf numFmtId="0" fontId="20" fillId="5" borderId="1" xfId="0" applyFont="1" applyFill="1" applyBorder="1" applyAlignment="1">
      <alignment horizontal="center" vertical="center"/>
    </xf>
    <xf numFmtId="0" fontId="14" fillId="4" borderId="1" xfId="0" applyFont="1" applyFill="1" applyBorder="1">
      <alignment vertical="center"/>
    </xf>
    <xf numFmtId="0" fontId="14" fillId="0" borderId="1" xfId="0" applyFont="1" applyFill="1" applyBorder="1">
      <alignment vertical="center"/>
    </xf>
    <xf numFmtId="0" fontId="14" fillId="0" borderId="1" xfId="0" applyFont="1" applyBorder="1">
      <alignment vertical="center"/>
    </xf>
    <xf numFmtId="38" fontId="14" fillId="0" borderId="1" xfId="0" applyNumberFormat="1" applyFont="1" applyBorder="1">
      <alignment vertical="center"/>
    </xf>
    <xf numFmtId="0" fontId="19" fillId="0" borderId="0" xfId="0" applyFont="1" applyFill="1">
      <alignment vertical="center"/>
    </xf>
    <xf numFmtId="0" fontId="16" fillId="0" borderId="17" xfId="0" applyFont="1" applyBorder="1" applyAlignment="1">
      <alignment vertical="top" wrapText="1"/>
    </xf>
    <xf numFmtId="0" fontId="16" fillId="0" borderId="5" xfId="0" applyFont="1" applyBorder="1" applyAlignment="1">
      <alignment vertical="top" wrapText="1"/>
    </xf>
    <xf numFmtId="0" fontId="21" fillId="0" borderId="0" xfId="0" applyFont="1" applyAlignment="1">
      <alignment vertical="center"/>
    </xf>
    <xf numFmtId="0" fontId="3" fillId="4" borderId="10" xfId="0" applyNumberFormat="1" applyFont="1" applyFill="1" applyBorder="1" applyAlignment="1" applyProtection="1">
      <alignment horizontal="center" vertical="center"/>
      <protection hidden="1"/>
    </xf>
    <xf numFmtId="0" fontId="3" fillId="4" borderId="11" xfId="0" applyNumberFormat="1" applyFont="1" applyFill="1" applyBorder="1" applyAlignment="1" applyProtection="1">
      <alignment horizontal="center" vertical="center"/>
      <protection hidden="1"/>
    </xf>
    <xf numFmtId="0" fontId="3" fillId="4" borderId="12" xfId="0" applyNumberFormat="1" applyFont="1" applyFill="1" applyBorder="1" applyAlignment="1" applyProtection="1">
      <alignment horizontal="center" vertical="center"/>
      <protection hidden="1"/>
    </xf>
    <xf numFmtId="0" fontId="3" fillId="4" borderId="13" xfId="0" applyNumberFormat="1" applyFont="1" applyFill="1" applyBorder="1" applyAlignment="1" applyProtection="1">
      <alignment horizontal="center" vertical="center"/>
      <protection hidden="1"/>
    </xf>
    <xf numFmtId="0" fontId="3" fillId="4" borderId="9" xfId="0" applyNumberFormat="1" applyFont="1" applyFill="1" applyBorder="1" applyAlignment="1" applyProtection="1">
      <alignment horizontal="center" vertical="center"/>
      <protection hidden="1"/>
    </xf>
    <xf numFmtId="0" fontId="14" fillId="0" borderId="18" xfId="0" applyFont="1" applyBorder="1" applyAlignment="1">
      <alignment horizontal="center" vertical="center"/>
    </xf>
    <xf numFmtId="38" fontId="14" fillId="0" borderId="18" xfId="1" applyFont="1" applyFill="1" applyBorder="1">
      <alignment vertical="center"/>
    </xf>
    <xf numFmtId="38" fontId="14" fillId="0" borderId="18" xfId="0" applyNumberFormat="1" applyFont="1" applyBorder="1">
      <alignment vertical="center"/>
    </xf>
    <xf numFmtId="41" fontId="10" fillId="0" borderId="31" xfId="1" applyNumberFormat="1" applyFont="1" applyFill="1" applyBorder="1" applyAlignment="1">
      <alignment vertical="center"/>
    </xf>
    <xf numFmtId="38" fontId="14" fillId="4" borderId="1" xfId="1" applyFont="1" applyFill="1" applyBorder="1">
      <alignment vertical="center"/>
    </xf>
    <xf numFmtId="0" fontId="22" fillId="0" borderId="0" xfId="0" applyFont="1">
      <alignment vertical="center"/>
    </xf>
    <xf numFmtId="0" fontId="9" fillId="7" borderId="19" xfId="0" applyFont="1" applyFill="1" applyBorder="1" applyAlignment="1">
      <alignment horizontal="center" vertical="center"/>
    </xf>
    <xf numFmtId="0" fontId="9" fillId="7" borderId="20" xfId="0" applyFont="1" applyFill="1" applyBorder="1" applyAlignment="1">
      <alignment horizontal="center" vertical="center"/>
    </xf>
    <xf numFmtId="0" fontId="14" fillId="0" borderId="1" xfId="0" applyFont="1" applyBorder="1" applyAlignment="1">
      <alignment horizontal="center" vertical="center"/>
    </xf>
    <xf numFmtId="0" fontId="14" fillId="4" borderId="10" xfId="0" applyFont="1" applyFill="1" applyBorder="1">
      <alignment vertical="center"/>
    </xf>
    <xf numFmtId="0" fontId="14" fillId="4" borderId="9" xfId="0" applyFont="1" applyFill="1" applyBorder="1">
      <alignment vertical="center"/>
    </xf>
    <xf numFmtId="0" fontId="16" fillId="0" borderId="7" xfId="0" applyFont="1" applyBorder="1" applyAlignment="1">
      <alignment horizontal="distributed" vertical="center" wrapText="1"/>
    </xf>
    <xf numFmtId="0" fontId="16" fillId="0" borderId="3" xfId="0" applyFont="1" applyBorder="1" applyAlignment="1">
      <alignment horizontal="distributed" vertical="center" wrapText="1"/>
    </xf>
    <xf numFmtId="0" fontId="16" fillId="0" borderId="4" xfId="0" applyFont="1" applyBorder="1" applyAlignment="1">
      <alignment horizontal="distributed" vertical="center" wrapText="1"/>
    </xf>
    <xf numFmtId="0" fontId="16" fillId="0" borderId="17"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21" xfId="0" applyFont="1" applyBorder="1" applyAlignment="1">
      <alignment horizontal="distributed" vertical="center" wrapText="1"/>
    </xf>
    <xf numFmtId="0" fontId="16" fillId="0" borderId="5" xfId="0" applyFont="1" applyBorder="1" applyAlignment="1">
      <alignment horizontal="distributed" vertical="center" wrapText="1"/>
    </xf>
    <xf numFmtId="0" fontId="16" fillId="0" borderId="6" xfId="0" applyFont="1" applyBorder="1" applyAlignment="1">
      <alignment horizontal="distributed" vertical="center" wrapText="1"/>
    </xf>
    <xf numFmtId="0" fontId="16" fillId="0" borderId="8" xfId="0" applyFont="1" applyBorder="1" applyAlignment="1">
      <alignment horizontal="distributed" vertical="center" wrapText="1"/>
    </xf>
    <xf numFmtId="0" fontId="12" fillId="0" borderId="0" xfId="0" applyFont="1" applyAlignment="1">
      <alignment horizontal="center" vertical="center"/>
    </xf>
    <xf numFmtId="0" fontId="16" fillId="0" borderId="7" xfId="0" applyFont="1" applyFill="1" applyBorder="1" applyAlignment="1">
      <alignment horizontal="distributed" vertical="center" wrapText="1"/>
    </xf>
    <xf numFmtId="0" fontId="16" fillId="0" borderId="3" xfId="0" applyFont="1" applyFill="1" applyBorder="1" applyAlignment="1">
      <alignment horizontal="distributed" vertical="center" wrapText="1"/>
    </xf>
    <xf numFmtId="0" fontId="16" fillId="0" borderId="4" xfId="0" applyFont="1" applyFill="1" applyBorder="1" applyAlignment="1">
      <alignment horizontal="distributed" vertical="center" wrapText="1"/>
    </xf>
    <xf numFmtId="0" fontId="16" fillId="0" borderId="17"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21" xfId="0" applyFont="1" applyFill="1" applyBorder="1" applyAlignment="1">
      <alignment horizontal="distributed" vertical="center" wrapText="1"/>
    </xf>
    <xf numFmtId="0" fontId="16" fillId="0" borderId="5"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16" fillId="0" borderId="8" xfId="0" applyFont="1" applyFill="1" applyBorder="1" applyAlignment="1">
      <alignment horizontal="distributed" vertical="center" wrapText="1"/>
    </xf>
    <xf numFmtId="0" fontId="16" fillId="0" borderId="10" xfId="0" applyFont="1" applyFill="1" applyBorder="1" applyAlignment="1">
      <alignment horizontal="distributed" vertical="center" wrapText="1"/>
    </xf>
    <xf numFmtId="0" fontId="16" fillId="0" borderId="2" xfId="0" applyFont="1" applyFill="1" applyBorder="1" applyAlignment="1">
      <alignment horizontal="distributed" vertical="center" wrapText="1"/>
    </xf>
    <xf numFmtId="0" fontId="16" fillId="0" borderId="10" xfId="0" applyFont="1" applyBorder="1" applyAlignment="1">
      <alignment horizontal="distributed" vertical="center" wrapText="1"/>
    </xf>
    <xf numFmtId="0" fontId="16" fillId="0" borderId="2" xfId="0" applyFont="1" applyBorder="1" applyAlignment="1">
      <alignment horizontal="distributed" vertical="center" wrapText="1"/>
    </xf>
    <xf numFmtId="0" fontId="16" fillId="0" borderId="7" xfId="0" applyFont="1" applyBorder="1" applyAlignment="1">
      <alignment vertical="top" wrapText="1"/>
    </xf>
    <xf numFmtId="0" fontId="16" fillId="0" borderId="3" xfId="0" applyFont="1" applyBorder="1" applyAlignment="1">
      <alignment vertical="top" wrapText="1"/>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38" fontId="14" fillId="0" borderId="2" xfId="1" applyFont="1" applyBorder="1" applyAlignment="1">
      <alignment vertical="center" wrapText="1"/>
    </xf>
    <xf numFmtId="38" fontId="14" fillId="0" borderId="9" xfId="1" applyFont="1" applyBorder="1" applyAlignment="1">
      <alignment vertical="center" wrapText="1"/>
    </xf>
    <xf numFmtId="0" fontId="18" fillId="0" borderId="5"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10" xfId="0" applyFont="1" applyBorder="1" applyAlignment="1">
      <alignment horizontal="left" vertical="center" wrapText="1" indent="1"/>
    </xf>
    <xf numFmtId="0" fontId="18" fillId="0" borderId="2" xfId="0" applyFont="1" applyBorder="1" applyAlignment="1">
      <alignment horizontal="left" vertical="center" wrapText="1" indent="1"/>
    </xf>
    <xf numFmtId="0" fontId="18" fillId="0" borderId="9" xfId="0" applyFont="1" applyBorder="1" applyAlignment="1">
      <alignment horizontal="left" vertical="center" wrapText="1" indent="1"/>
    </xf>
    <xf numFmtId="182" fontId="14" fillId="0" borderId="10" xfId="0" applyNumberFormat="1" applyFont="1" applyBorder="1" applyAlignment="1">
      <alignment horizontal="distributed" vertical="center" indent="1"/>
    </xf>
    <xf numFmtId="182" fontId="14" fillId="0" borderId="2" xfId="0" applyNumberFormat="1" applyFont="1" applyBorder="1" applyAlignment="1">
      <alignment horizontal="distributed" vertical="center" indent="1"/>
    </xf>
    <xf numFmtId="182" fontId="14" fillId="0" borderId="9" xfId="0" applyNumberFormat="1" applyFont="1" applyBorder="1" applyAlignment="1">
      <alignment horizontal="distributed" vertical="center" indent="1"/>
    </xf>
    <xf numFmtId="0" fontId="14" fillId="0" borderId="10" xfId="0" applyFont="1" applyBorder="1" applyAlignment="1">
      <alignment horizontal="distributed" vertical="center" justifyLastLine="1"/>
    </xf>
    <xf numFmtId="0" fontId="14" fillId="0" borderId="2" xfId="0" applyFont="1" applyBorder="1" applyAlignment="1">
      <alignment horizontal="distributed" vertical="center" justifyLastLine="1"/>
    </xf>
    <xf numFmtId="0" fontId="14" fillId="0" borderId="9" xfId="0" applyFont="1" applyBorder="1" applyAlignment="1">
      <alignment horizontal="distributed" vertical="center" justifyLastLine="1"/>
    </xf>
    <xf numFmtId="183" fontId="14" fillId="0" borderId="10" xfId="0" applyNumberFormat="1" applyFont="1" applyFill="1" applyBorder="1" applyAlignment="1">
      <alignment horizontal="distributed" vertical="center" indent="1"/>
    </xf>
    <xf numFmtId="183" fontId="14" fillId="0" borderId="2" xfId="0" applyNumberFormat="1" applyFont="1" applyFill="1" applyBorder="1" applyAlignment="1">
      <alignment horizontal="distributed" vertical="center" indent="1"/>
    </xf>
    <xf numFmtId="183" fontId="14" fillId="0" borderId="9" xfId="0" applyNumberFormat="1" applyFont="1" applyFill="1" applyBorder="1" applyAlignment="1">
      <alignment horizontal="distributed" vertical="center" indent="1"/>
    </xf>
    <xf numFmtId="0" fontId="16" fillId="0" borderId="3" xfId="0" applyFont="1" applyFill="1" applyBorder="1" applyAlignment="1">
      <alignment vertical="center"/>
    </xf>
    <xf numFmtId="0" fontId="3" fillId="0" borderId="1" xfId="0" applyFont="1" applyFill="1" applyBorder="1" applyAlignment="1" applyProtection="1">
      <alignment horizontal="center" vertical="center" wrapText="1"/>
      <protection hidden="1"/>
    </xf>
    <xf numFmtId="0" fontId="18" fillId="0" borderId="7" xfId="0" applyFont="1" applyBorder="1" applyAlignment="1">
      <alignment horizontal="left" vertical="center" indent="1"/>
    </xf>
    <xf numFmtId="0" fontId="18" fillId="0" borderId="3" xfId="0" applyFont="1" applyBorder="1" applyAlignment="1">
      <alignment horizontal="left" vertical="center" indent="1"/>
    </xf>
    <xf numFmtId="0" fontId="18" fillId="0" borderId="4" xfId="0" applyFont="1" applyBorder="1" applyAlignment="1">
      <alignment horizontal="left" vertical="center" indent="1"/>
    </xf>
    <xf numFmtId="0" fontId="18" fillId="0" borderId="17" xfId="0" applyFont="1" applyBorder="1" applyAlignment="1">
      <alignment horizontal="left" vertical="center" indent="1"/>
    </xf>
    <xf numFmtId="0" fontId="18" fillId="0" borderId="0" xfId="0" applyFont="1" applyBorder="1" applyAlignment="1">
      <alignment horizontal="left" vertical="center" indent="1"/>
    </xf>
    <xf numFmtId="0" fontId="18" fillId="0" borderId="21" xfId="0" applyFont="1" applyBorder="1" applyAlignment="1">
      <alignment horizontal="left" vertical="center" indent="1"/>
    </xf>
    <xf numFmtId="0" fontId="16" fillId="0" borderId="1" xfId="0" applyFont="1" applyBorder="1" applyAlignment="1">
      <alignment horizontal="distributed" vertical="center" wrapText="1" justifyLastLine="1"/>
    </xf>
    <xf numFmtId="0" fontId="14" fillId="0" borderId="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3" fillId="0" borderId="28" xfId="0" applyNumberFormat="1" applyFont="1" applyFill="1" applyBorder="1" applyAlignment="1" applyProtection="1">
      <alignment horizontal="center" vertical="center"/>
      <protection hidden="1"/>
    </xf>
    <xf numFmtId="0" fontId="3" fillId="0" borderId="14" xfId="0" applyNumberFormat="1" applyFont="1" applyFill="1" applyBorder="1" applyAlignment="1" applyProtection="1">
      <alignment horizontal="center" vertical="center"/>
      <protection hidden="1"/>
    </xf>
    <xf numFmtId="0" fontId="3" fillId="0" borderId="26" xfId="0" applyNumberFormat="1" applyFont="1" applyFill="1" applyBorder="1" applyAlignment="1" applyProtection="1">
      <alignment horizontal="center" vertical="center"/>
      <protection hidden="1"/>
    </xf>
    <xf numFmtId="0" fontId="3" fillId="0" borderId="27" xfId="0" applyNumberFormat="1" applyFont="1" applyFill="1" applyBorder="1" applyAlignment="1" applyProtection="1">
      <alignment horizontal="center" vertical="center"/>
      <protection hidden="1"/>
    </xf>
    <xf numFmtId="0" fontId="3" fillId="0" borderId="24" xfId="0" applyNumberFormat="1" applyFont="1" applyFill="1" applyBorder="1" applyAlignment="1" applyProtection="1">
      <alignment horizontal="center" vertical="center"/>
      <protection hidden="1"/>
    </xf>
    <xf numFmtId="0" fontId="3" fillId="0" borderId="25" xfId="0" applyNumberFormat="1" applyFont="1" applyFill="1" applyBorder="1" applyAlignment="1" applyProtection="1">
      <alignment horizontal="center" vertical="center"/>
      <protection hidden="1"/>
    </xf>
    <xf numFmtId="0" fontId="3" fillId="0" borderId="22" xfId="0" applyNumberFormat="1" applyFont="1" applyFill="1" applyBorder="1" applyAlignment="1" applyProtection="1">
      <alignment horizontal="center" vertical="center"/>
      <protection hidden="1"/>
    </xf>
    <xf numFmtId="0" fontId="3" fillId="0" borderId="23" xfId="0" applyNumberFormat="1" applyFont="1" applyFill="1" applyBorder="1" applyAlignment="1" applyProtection="1">
      <alignment horizontal="center" vertical="center"/>
      <protection hidden="1"/>
    </xf>
    <xf numFmtId="0" fontId="3" fillId="0" borderId="29" xfId="0" applyNumberFormat="1" applyFont="1" applyFill="1" applyBorder="1" applyAlignment="1" applyProtection="1">
      <alignment horizontal="center" vertical="center"/>
      <protection hidden="1"/>
    </xf>
    <xf numFmtId="0" fontId="3" fillId="0" borderId="30" xfId="0" applyNumberFormat="1" applyFont="1" applyFill="1" applyBorder="1" applyAlignment="1" applyProtection="1">
      <alignment horizontal="center" vertical="center"/>
      <protection hidden="1"/>
    </xf>
    <xf numFmtId="41" fontId="18" fillId="4" borderId="1" xfId="1" applyNumberFormat="1" applyFont="1" applyFill="1" applyBorder="1" applyAlignment="1">
      <alignment vertical="center"/>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7" xfId="0" applyFont="1" applyBorder="1" applyAlignment="1">
      <alignment horizontal="distributed" vertical="center" wrapText="1" justifyLastLine="1"/>
    </xf>
    <xf numFmtId="0" fontId="16" fillId="0" borderId="3" xfId="0" applyFont="1" applyBorder="1" applyAlignment="1">
      <alignment horizontal="distributed" vertical="center" wrapText="1" justifyLastLine="1"/>
    </xf>
    <xf numFmtId="0" fontId="16" fillId="0" borderId="4" xfId="0" applyFont="1" applyBorder="1" applyAlignment="1">
      <alignment horizontal="distributed" vertical="center" wrapText="1" justifyLastLine="1"/>
    </xf>
    <xf numFmtId="0" fontId="16" fillId="0" borderId="17" xfId="0" applyFont="1" applyBorder="1" applyAlignment="1">
      <alignment horizontal="distributed" vertical="center" wrapText="1" justifyLastLine="1"/>
    </xf>
    <xf numFmtId="0" fontId="16" fillId="0" borderId="0" xfId="0" applyFont="1" applyBorder="1" applyAlignment="1">
      <alignment horizontal="distributed" vertical="center" wrapText="1" justifyLastLine="1"/>
    </xf>
    <xf numFmtId="0" fontId="16" fillId="0" borderId="21" xfId="0" applyFont="1" applyBorder="1" applyAlignment="1">
      <alignment horizontal="distributed" vertical="center" wrapText="1" justifyLastLine="1"/>
    </xf>
    <xf numFmtId="0" fontId="16" fillId="0" borderId="5" xfId="0" applyFont="1" applyBorder="1" applyAlignment="1">
      <alignment horizontal="distributed" vertical="center" wrapText="1" justifyLastLine="1"/>
    </xf>
    <xf numFmtId="0" fontId="16" fillId="0" borderId="6" xfId="0" applyFont="1" applyBorder="1" applyAlignment="1">
      <alignment horizontal="distributed" vertical="center" wrapText="1" justifyLastLine="1"/>
    </xf>
    <xf numFmtId="0" fontId="16" fillId="0" borderId="8" xfId="0" applyFont="1" applyBorder="1" applyAlignment="1">
      <alignment horizontal="distributed" vertical="center" wrapText="1" justifyLastLine="1"/>
    </xf>
    <xf numFmtId="0" fontId="3" fillId="0" borderId="10"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0" fontId="16" fillId="0" borderId="9" xfId="0" applyFont="1" applyBorder="1" applyAlignment="1">
      <alignment horizontal="distributed" vertical="center" wrapText="1"/>
    </xf>
    <xf numFmtId="0" fontId="3" fillId="0" borderId="4" xfId="0" applyNumberFormat="1" applyFont="1" applyFill="1" applyBorder="1" applyAlignment="1" applyProtection="1">
      <alignment horizontal="center" vertical="center"/>
      <protection hidden="1"/>
    </xf>
    <xf numFmtId="0" fontId="3" fillId="0" borderId="8" xfId="0" applyNumberFormat="1" applyFont="1" applyFill="1" applyBorder="1" applyAlignment="1" applyProtection="1">
      <alignment horizontal="center" vertical="center"/>
      <protection hidden="1"/>
    </xf>
    <xf numFmtId="0" fontId="16" fillId="0" borderId="1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distributed" vertical="center" wrapText="1" justifyLastLine="1"/>
    </xf>
    <xf numFmtId="0" fontId="18" fillId="0" borderId="7" xfId="0" applyFont="1" applyFill="1" applyBorder="1" applyAlignment="1">
      <alignment horizontal="left" vertical="center" indent="1"/>
    </xf>
    <xf numFmtId="0" fontId="18" fillId="0" borderId="3" xfId="0" applyFont="1" applyFill="1" applyBorder="1" applyAlignment="1">
      <alignment horizontal="left" vertical="center" indent="1"/>
    </xf>
    <xf numFmtId="0" fontId="18" fillId="0" borderId="4" xfId="0" applyFont="1" applyFill="1" applyBorder="1" applyAlignment="1">
      <alignment horizontal="left" vertical="center" indent="1"/>
    </xf>
    <xf numFmtId="0" fontId="18" fillId="0" borderId="17" xfId="0" applyFont="1" applyFill="1" applyBorder="1" applyAlignment="1">
      <alignment horizontal="left" vertical="center" indent="1"/>
    </xf>
    <xf numFmtId="0" fontId="18" fillId="0" borderId="0" xfId="0" applyFont="1" applyFill="1" applyBorder="1" applyAlignment="1">
      <alignment horizontal="left" vertical="center" indent="1"/>
    </xf>
    <xf numFmtId="0" fontId="18" fillId="0" borderId="21" xfId="0" applyFont="1" applyFill="1" applyBorder="1" applyAlignment="1">
      <alignment horizontal="left" vertical="center" indent="1"/>
    </xf>
    <xf numFmtId="0" fontId="14" fillId="0" borderId="1" xfId="0" applyFont="1" applyBorder="1" applyAlignment="1">
      <alignment horizontal="center" vertical="center" wrapText="1"/>
    </xf>
    <xf numFmtId="0" fontId="16" fillId="0" borderId="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38" fontId="14" fillId="4" borderId="7" xfId="1" applyFont="1" applyFill="1" applyBorder="1" applyAlignment="1">
      <alignment vertical="center" wrapText="1"/>
    </xf>
    <xf numFmtId="38" fontId="14" fillId="4" borderId="3" xfId="1" applyFont="1" applyFill="1" applyBorder="1" applyAlignment="1">
      <alignment vertical="center" wrapText="1"/>
    </xf>
    <xf numFmtId="38" fontId="14" fillId="4" borderId="4" xfId="1" applyFont="1" applyFill="1" applyBorder="1" applyAlignment="1">
      <alignment vertical="center" wrapText="1"/>
    </xf>
    <xf numFmtId="38" fontId="14" fillId="4" borderId="5" xfId="1" applyFont="1" applyFill="1" applyBorder="1" applyAlignment="1">
      <alignment vertical="center" wrapText="1"/>
    </xf>
    <xf numFmtId="38" fontId="14" fillId="4" borderId="6" xfId="1" applyFont="1" applyFill="1" applyBorder="1" applyAlignment="1">
      <alignment vertical="center" wrapText="1"/>
    </xf>
    <xf numFmtId="38" fontId="14" fillId="4" borderId="8" xfId="1" applyFont="1" applyFill="1" applyBorder="1" applyAlignment="1">
      <alignment vertical="center" wrapText="1"/>
    </xf>
    <xf numFmtId="176" fontId="14" fillId="4" borderId="1" xfId="1" applyNumberFormat="1" applyFont="1" applyFill="1" applyBorder="1" applyAlignment="1">
      <alignment horizontal="center" vertical="center" wrapText="1"/>
    </xf>
    <xf numFmtId="41" fontId="18" fillId="4" borderId="3" xfId="1" applyNumberFormat="1" applyFont="1" applyFill="1" applyBorder="1" applyAlignment="1">
      <alignment vertical="center"/>
    </xf>
    <xf numFmtId="41" fontId="18" fillId="4" borderId="4" xfId="1" applyNumberFormat="1" applyFont="1" applyFill="1" applyBorder="1" applyAlignment="1">
      <alignment vertical="center"/>
    </xf>
    <xf numFmtId="41" fontId="18" fillId="4" borderId="6" xfId="1" applyNumberFormat="1" applyFont="1" applyFill="1" applyBorder="1" applyAlignment="1">
      <alignment vertical="center"/>
    </xf>
    <xf numFmtId="41" fontId="18" fillId="4" borderId="8" xfId="1" applyNumberFormat="1" applyFont="1" applyFill="1" applyBorder="1" applyAlignment="1">
      <alignment vertical="center"/>
    </xf>
    <xf numFmtId="0" fontId="16" fillId="0" borderId="1" xfId="0" applyFont="1" applyBorder="1" applyAlignment="1">
      <alignment horizontal="distributed" vertical="center" wrapText="1"/>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41" fontId="14" fillId="0" borderId="1" xfId="1" applyNumberFormat="1" applyFont="1" applyFill="1" applyBorder="1" applyAlignment="1">
      <alignment vertical="center"/>
    </xf>
    <xf numFmtId="0" fontId="14" fillId="4" borderId="1" xfId="0" applyFont="1" applyFill="1" applyBorder="1" applyAlignment="1">
      <alignment horizontal="center" vertical="center"/>
    </xf>
    <xf numFmtId="0" fontId="14" fillId="4" borderId="1" xfId="0" applyFont="1" applyFill="1" applyBorder="1" applyAlignment="1">
      <alignment vertical="center"/>
    </xf>
    <xf numFmtId="41" fontId="14" fillId="4" borderId="1" xfId="1" applyNumberFormat="1" applyFont="1" applyFill="1" applyBorder="1" applyAlignment="1">
      <alignment vertical="center"/>
    </xf>
    <xf numFmtId="0" fontId="16" fillId="0" borderId="9" xfId="0" applyFont="1" applyFill="1" applyBorder="1" applyAlignment="1">
      <alignment horizontal="distributed" vertical="center" wrapText="1"/>
    </xf>
    <xf numFmtId="0" fontId="16" fillId="0" borderId="7" xfId="0" applyFont="1" applyFill="1" applyBorder="1" applyAlignment="1">
      <alignment horizontal="distributed" vertical="center" wrapText="1" justifyLastLine="1"/>
    </xf>
    <xf numFmtId="0" fontId="16" fillId="0" borderId="3" xfId="0" applyFont="1" applyFill="1" applyBorder="1" applyAlignment="1">
      <alignment horizontal="distributed" vertical="center" wrapText="1" justifyLastLine="1"/>
    </xf>
    <xf numFmtId="0" fontId="16" fillId="0" borderId="4" xfId="0" applyFont="1" applyFill="1" applyBorder="1" applyAlignment="1">
      <alignment horizontal="distributed" vertical="center" wrapText="1" justifyLastLine="1"/>
    </xf>
    <xf numFmtId="0" fontId="16" fillId="0" borderId="17" xfId="0" applyFont="1" applyFill="1" applyBorder="1" applyAlignment="1">
      <alignment horizontal="distributed" vertical="center" wrapText="1" justifyLastLine="1"/>
    </xf>
    <xf numFmtId="0" fontId="16" fillId="0" borderId="0" xfId="0" applyFont="1" applyFill="1" applyBorder="1" applyAlignment="1">
      <alignment horizontal="distributed" vertical="center" wrapText="1" justifyLastLine="1"/>
    </xf>
    <xf numFmtId="0" fontId="16" fillId="0" borderId="21" xfId="0" applyFont="1" applyFill="1" applyBorder="1" applyAlignment="1">
      <alignment horizontal="distributed" vertical="center" wrapText="1" justifyLastLine="1"/>
    </xf>
    <xf numFmtId="0" fontId="16" fillId="0" borderId="5" xfId="0" applyFont="1" applyFill="1" applyBorder="1" applyAlignment="1">
      <alignment horizontal="distributed" vertical="center" wrapText="1" justifyLastLine="1"/>
    </xf>
    <xf numFmtId="0" fontId="16" fillId="0" borderId="6" xfId="0" applyFont="1" applyFill="1" applyBorder="1" applyAlignment="1">
      <alignment horizontal="distributed" vertical="center" wrapText="1" justifyLastLine="1"/>
    </xf>
    <xf numFmtId="0" fontId="16" fillId="0" borderId="8" xfId="0" applyFont="1" applyFill="1" applyBorder="1" applyAlignment="1">
      <alignment horizontal="distributed" vertical="center" wrapText="1" justifyLastLine="1"/>
    </xf>
    <xf numFmtId="0" fontId="14"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9" xfId="0" applyFont="1" applyBorder="1" applyAlignment="1">
      <alignment horizontal="center" vertical="center"/>
    </xf>
    <xf numFmtId="38" fontId="14" fillId="4" borderId="10" xfId="1" applyFont="1" applyFill="1" applyBorder="1" applyAlignment="1">
      <alignment vertical="center" wrapText="1"/>
    </xf>
    <xf numFmtId="38" fontId="14" fillId="4" borderId="2" xfId="1" applyFont="1" applyFill="1" applyBorder="1" applyAlignment="1">
      <alignment vertical="center" wrapText="1"/>
    </xf>
    <xf numFmtId="38" fontId="14" fillId="4" borderId="9" xfId="1" applyFont="1" applyFill="1" applyBorder="1" applyAlignment="1">
      <alignment vertical="center" wrapText="1"/>
    </xf>
    <xf numFmtId="0" fontId="16" fillId="0" borderId="2" xfId="0" applyFont="1" applyFill="1" applyBorder="1" applyAlignment="1">
      <alignment horizontal="center" vertical="center" wrapText="1"/>
    </xf>
    <xf numFmtId="0" fontId="16" fillId="0" borderId="9" xfId="0" applyFont="1" applyFill="1" applyBorder="1" applyAlignment="1">
      <alignment horizontal="center" vertical="center" wrapText="1"/>
    </xf>
    <xf numFmtId="38" fontId="16" fillId="0" borderId="1" xfId="1" applyFont="1" applyBorder="1" applyAlignment="1">
      <alignment horizontal="distributed" vertical="center" wrapText="1"/>
    </xf>
    <xf numFmtId="41" fontId="18" fillId="0" borderId="1" xfId="1" applyNumberFormat="1" applyFont="1" applyFill="1" applyBorder="1" applyAlignment="1">
      <alignment vertical="center"/>
    </xf>
    <xf numFmtId="0" fontId="16" fillId="0" borderId="7" xfId="0" applyFont="1" applyBorder="1" applyAlignment="1">
      <alignment vertical="center" textRotation="255" wrapText="1"/>
    </xf>
    <xf numFmtId="0" fontId="16" fillId="0" borderId="17" xfId="0" applyFont="1" applyBorder="1" applyAlignment="1">
      <alignment vertical="center" textRotation="255" wrapText="1"/>
    </xf>
    <xf numFmtId="0" fontId="16" fillId="0" borderId="5" xfId="0" applyFont="1" applyBorder="1" applyAlignment="1">
      <alignment vertical="center" textRotation="255" wrapText="1"/>
    </xf>
    <xf numFmtId="0" fontId="16" fillId="0" borderId="4" xfId="0" applyFont="1" applyBorder="1" applyAlignment="1">
      <alignment vertical="center" textRotation="255" wrapText="1"/>
    </xf>
    <xf numFmtId="0" fontId="16" fillId="0" borderId="21" xfId="0" applyFont="1" applyBorder="1" applyAlignment="1">
      <alignment vertical="center" textRotation="255" wrapText="1"/>
    </xf>
    <xf numFmtId="0" fontId="16" fillId="0" borderId="8" xfId="0" applyFont="1" applyBorder="1" applyAlignment="1">
      <alignment vertical="center" textRotation="255"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cellXfs>
  <cellStyles count="3">
    <cellStyle name="桁区切り" xfId="1" builtinId="6"/>
    <cellStyle name="標準" xfId="0" builtinId="0"/>
    <cellStyle name="標準_神田P報酬減額"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7"/>
  <sheetViews>
    <sheetView tabSelected="1" workbookViewId="0">
      <selection activeCell="K1" sqref="K1"/>
    </sheetView>
  </sheetViews>
  <sheetFormatPr defaultRowHeight="12"/>
  <cols>
    <col min="1" max="1" width="6" style="88" customWidth="1"/>
    <col min="2" max="2" width="12.88671875" style="76" customWidth="1"/>
    <col min="3" max="3" width="17.21875" style="76" customWidth="1"/>
    <col min="4" max="4" width="24.109375" style="76" customWidth="1"/>
    <col min="5" max="5" width="8.77734375" style="76" customWidth="1"/>
    <col min="6" max="6" width="20.6640625" style="76" customWidth="1"/>
    <col min="7" max="9" width="11.88671875" style="76" customWidth="1"/>
    <col min="10" max="10" width="8.44140625" style="76" customWidth="1"/>
    <col min="11" max="11" width="11.88671875" style="76" customWidth="1"/>
    <col min="12" max="12" width="8.88671875" style="1"/>
    <col min="13" max="16384" width="8.88671875" style="76"/>
  </cols>
  <sheetData>
    <row r="1" spans="1:13">
      <c r="A1" s="102" t="s">
        <v>50</v>
      </c>
      <c r="K1" s="87" t="s">
        <v>101</v>
      </c>
    </row>
    <row r="2" spans="1:13">
      <c r="A2" s="102" t="s">
        <v>51</v>
      </c>
      <c r="F2" s="86" t="s">
        <v>35</v>
      </c>
      <c r="H2" s="10"/>
      <c r="I2" s="10"/>
    </row>
    <row r="3" spans="1:13" ht="12" customHeight="1">
      <c r="A3" s="71"/>
      <c r="B3" s="72" t="s">
        <v>39</v>
      </c>
      <c r="F3" s="70" t="s">
        <v>36</v>
      </c>
    </row>
    <row r="4" spans="1:13">
      <c r="A4" s="73"/>
      <c r="B4" s="74" t="s">
        <v>40</v>
      </c>
      <c r="F4" s="86" t="s">
        <v>48</v>
      </c>
      <c r="H4" s="10"/>
      <c r="I4" s="10"/>
      <c r="M4" s="75"/>
    </row>
    <row r="5" spans="1:13">
      <c r="A5" s="74"/>
      <c r="B5" s="74"/>
      <c r="F5" s="86" t="s">
        <v>49</v>
      </c>
      <c r="H5" s="10"/>
      <c r="I5" s="10"/>
      <c r="M5" s="75"/>
    </row>
    <row r="6" spans="1:13">
      <c r="A6" s="74"/>
      <c r="B6" s="74"/>
      <c r="E6" s="86"/>
      <c r="H6" s="10"/>
      <c r="K6" s="1"/>
      <c r="L6" s="75"/>
    </row>
    <row r="7" spans="1:13">
      <c r="G7" s="76" t="s">
        <v>83</v>
      </c>
      <c r="K7" s="1"/>
      <c r="L7" s="75"/>
    </row>
    <row r="8" spans="1:13">
      <c r="A8" s="87" t="s">
        <v>6</v>
      </c>
      <c r="B8" s="89">
        <v>28</v>
      </c>
      <c r="C8" s="76" t="s">
        <v>3</v>
      </c>
      <c r="G8" s="76" t="s">
        <v>100</v>
      </c>
      <c r="K8" s="1"/>
      <c r="L8" s="75"/>
    </row>
    <row r="9" spans="1:13">
      <c r="A9" s="76" t="s">
        <v>46</v>
      </c>
      <c r="G9" s="76" t="s">
        <v>44</v>
      </c>
      <c r="K9" s="1"/>
      <c r="L9" s="76"/>
    </row>
    <row r="10" spans="1:13">
      <c r="A10" s="119" t="s">
        <v>1</v>
      </c>
      <c r="B10" s="90" t="s">
        <v>2</v>
      </c>
      <c r="C10" s="120" t="s">
        <v>32</v>
      </c>
      <c r="D10" s="121"/>
      <c r="G10" s="117" t="s">
        <v>41</v>
      </c>
      <c r="H10" s="118"/>
      <c r="K10" s="1"/>
      <c r="L10" s="76"/>
    </row>
    <row r="11" spans="1:13">
      <c r="A11" s="119"/>
      <c r="B11" s="90" t="s">
        <v>4</v>
      </c>
      <c r="C11" s="120" t="s">
        <v>25</v>
      </c>
      <c r="D11" s="121"/>
      <c r="G11" s="91" t="s">
        <v>42</v>
      </c>
      <c r="H11" s="92" t="s">
        <v>43</v>
      </c>
      <c r="K11" s="1"/>
      <c r="L11" s="76"/>
    </row>
    <row r="12" spans="1:13" ht="12" customHeight="1">
      <c r="A12" s="119"/>
      <c r="B12" s="90" t="s">
        <v>5</v>
      </c>
      <c r="C12" s="89" t="s">
        <v>24</v>
      </c>
      <c r="F12" s="77" t="s">
        <v>45</v>
      </c>
      <c r="G12" s="78">
        <v>1</v>
      </c>
      <c r="H12" s="79">
        <f>+G13+1</f>
        <v>3</v>
      </c>
      <c r="K12" s="1"/>
      <c r="L12" s="76"/>
    </row>
    <row r="13" spans="1:13">
      <c r="A13" s="119"/>
      <c r="B13" s="59" t="s">
        <v>13</v>
      </c>
      <c r="C13" s="2">
        <v>1234567890123</v>
      </c>
      <c r="G13" s="79">
        <f>+G12+1</f>
        <v>2</v>
      </c>
      <c r="H13" s="79">
        <f>+H12+1</f>
        <v>4</v>
      </c>
      <c r="K13" s="1"/>
      <c r="L13" s="76"/>
    </row>
    <row r="14" spans="1:13">
      <c r="A14" s="119" t="s">
        <v>7</v>
      </c>
      <c r="B14" s="68" t="s">
        <v>33</v>
      </c>
      <c r="C14" s="66">
        <v>54321</v>
      </c>
      <c r="G14" s="116" t="str">
        <f>IF(G15="印字する","","■")</f>
        <v/>
      </c>
      <c r="K14" s="1"/>
      <c r="L14" s="76"/>
    </row>
    <row r="15" spans="1:13">
      <c r="A15" s="119"/>
      <c r="B15" s="69" t="s">
        <v>34</v>
      </c>
      <c r="C15" s="67">
        <v>87654321</v>
      </c>
      <c r="F15" s="77" t="s">
        <v>23</v>
      </c>
      <c r="G15" s="80" t="s">
        <v>85</v>
      </c>
      <c r="H15" s="81" t="s">
        <v>47</v>
      </c>
      <c r="K15" s="1"/>
      <c r="L15" s="76"/>
    </row>
    <row r="16" spans="1:13">
      <c r="A16" s="76"/>
      <c r="K16" s="1"/>
      <c r="L16" s="76"/>
    </row>
    <row r="17" spans="1:12">
      <c r="K17" s="1"/>
      <c r="L17" s="76"/>
    </row>
    <row r="18" spans="1:12">
      <c r="A18" s="88" t="s">
        <v>67</v>
      </c>
      <c r="K18" s="1"/>
      <c r="L18" s="76"/>
    </row>
    <row r="19" spans="1:12" s="96" customFormat="1">
      <c r="A19" s="93" t="s">
        <v>31</v>
      </c>
      <c r="B19" s="94" t="s">
        <v>9</v>
      </c>
      <c r="C19" s="32" t="s">
        <v>13</v>
      </c>
      <c r="D19" s="94" t="s">
        <v>10</v>
      </c>
      <c r="E19" s="93" t="s">
        <v>19</v>
      </c>
      <c r="F19" s="94" t="s">
        <v>54</v>
      </c>
      <c r="G19" s="95" t="s">
        <v>55</v>
      </c>
      <c r="H19" s="95" t="s">
        <v>56</v>
      </c>
      <c r="I19" s="94" t="s">
        <v>22</v>
      </c>
      <c r="J19" s="111"/>
      <c r="K19" s="94" t="s">
        <v>65</v>
      </c>
      <c r="L19" s="30"/>
    </row>
    <row r="20" spans="1:12">
      <c r="A20" s="97">
        <v>1</v>
      </c>
      <c r="B20" s="98" t="s">
        <v>66</v>
      </c>
      <c r="C20" s="31">
        <v>100</v>
      </c>
      <c r="D20" s="98" t="s">
        <v>26</v>
      </c>
      <c r="E20" s="98" t="s">
        <v>95</v>
      </c>
      <c r="F20" s="98" t="s">
        <v>77</v>
      </c>
      <c r="G20" s="115" t="s">
        <v>84</v>
      </c>
      <c r="H20" s="115" t="s">
        <v>82</v>
      </c>
      <c r="I20" s="115">
        <f>100000*12</f>
        <v>1200000</v>
      </c>
      <c r="J20" s="112"/>
      <c r="K20" s="115" t="s">
        <v>86</v>
      </c>
    </row>
    <row r="21" spans="1:12">
      <c r="A21" s="93">
        <v>2</v>
      </c>
      <c r="B21" s="98" t="s">
        <v>68</v>
      </c>
      <c r="C21" s="31">
        <v>200</v>
      </c>
      <c r="D21" s="98" t="s">
        <v>27</v>
      </c>
      <c r="E21" s="98" t="s">
        <v>96</v>
      </c>
      <c r="F21" s="98" t="s">
        <v>78</v>
      </c>
      <c r="G21" s="115" t="s">
        <v>91</v>
      </c>
      <c r="H21" s="115" t="s">
        <v>71</v>
      </c>
      <c r="I21" s="115">
        <f>200000*12</f>
        <v>2400000</v>
      </c>
      <c r="J21" s="112"/>
      <c r="K21" s="115" t="s">
        <v>87</v>
      </c>
    </row>
    <row r="22" spans="1:12">
      <c r="A22" s="93">
        <v>3</v>
      </c>
      <c r="B22" s="98" t="s">
        <v>69</v>
      </c>
      <c r="C22" s="31">
        <v>300</v>
      </c>
      <c r="D22" s="98" t="s">
        <v>28</v>
      </c>
      <c r="E22" s="98" t="s">
        <v>75</v>
      </c>
      <c r="F22" s="98" t="s">
        <v>79</v>
      </c>
      <c r="G22" s="115" t="s">
        <v>92</v>
      </c>
      <c r="H22" s="115" t="s">
        <v>74</v>
      </c>
      <c r="I22" s="115">
        <f>300000*12</f>
        <v>3600000</v>
      </c>
      <c r="J22" s="112"/>
      <c r="K22" s="115" t="s">
        <v>88</v>
      </c>
    </row>
    <row r="23" spans="1:12">
      <c r="A23" s="93">
        <v>4</v>
      </c>
      <c r="B23" s="98" t="s">
        <v>97</v>
      </c>
      <c r="C23" s="31">
        <v>400</v>
      </c>
      <c r="D23" s="98" t="s">
        <v>29</v>
      </c>
      <c r="E23" s="98" t="s">
        <v>76</v>
      </c>
      <c r="F23" s="98" t="s">
        <v>80</v>
      </c>
      <c r="G23" s="115" t="s">
        <v>93</v>
      </c>
      <c r="H23" s="115" t="s">
        <v>73</v>
      </c>
      <c r="I23" s="115">
        <f>400000*12</f>
        <v>4800000</v>
      </c>
      <c r="J23" s="112"/>
      <c r="K23" s="115" t="s">
        <v>89</v>
      </c>
    </row>
    <row r="24" spans="1:12">
      <c r="A24" s="97">
        <v>5</v>
      </c>
      <c r="B24" s="98" t="s">
        <v>70</v>
      </c>
      <c r="C24" s="31">
        <v>500</v>
      </c>
      <c r="D24" s="98" t="s">
        <v>30</v>
      </c>
      <c r="E24" s="98"/>
      <c r="F24" s="98" t="s">
        <v>81</v>
      </c>
      <c r="G24" s="115" t="s">
        <v>94</v>
      </c>
      <c r="H24" s="115" t="s">
        <v>72</v>
      </c>
      <c r="I24" s="115">
        <f>500000*12</f>
        <v>6000000</v>
      </c>
      <c r="J24" s="112"/>
      <c r="K24" s="115" t="s">
        <v>90</v>
      </c>
    </row>
    <row r="25" spans="1:12">
      <c r="A25" s="93">
        <v>6</v>
      </c>
      <c r="B25" s="98"/>
      <c r="C25" s="31"/>
      <c r="D25" s="98"/>
      <c r="E25" s="98"/>
      <c r="F25" s="98"/>
      <c r="G25" s="115"/>
      <c r="H25" s="115"/>
      <c r="I25" s="115"/>
      <c r="J25" s="112"/>
      <c r="K25" s="115"/>
    </row>
    <row r="26" spans="1:12">
      <c r="A26" s="93">
        <v>7</v>
      </c>
      <c r="B26" s="98"/>
      <c r="C26" s="31"/>
      <c r="D26" s="98"/>
      <c r="E26" s="98"/>
      <c r="F26" s="98"/>
      <c r="G26" s="115"/>
      <c r="H26" s="115"/>
      <c r="I26" s="115"/>
      <c r="J26" s="112"/>
      <c r="K26" s="115"/>
    </row>
    <row r="27" spans="1:12">
      <c r="A27" s="93">
        <v>8</v>
      </c>
      <c r="B27" s="98"/>
      <c r="C27" s="31"/>
      <c r="D27" s="98"/>
      <c r="E27" s="98"/>
      <c r="F27" s="98"/>
      <c r="G27" s="115"/>
      <c r="H27" s="115"/>
      <c r="I27" s="115"/>
      <c r="J27" s="112"/>
      <c r="K27" s="115"/>
    </row>
    <row r="28" spans="1:12">
      <c r="A28" s="97">
        <v>9</v>
      </c>
      <c r="B28" s="98"/>
      <c r="C28" s="31"/>
      <c r="D28" s="98"/>
      <c r="E28" s="98"/>
      <c r="F28" s="98"/>
      <c r="G28" s="115"/>
      <c r="H28" s="115"/>
      <c r="I28" s="115"/>
      <c r="J28" s="112"/>
      <c r="K28" s="115"/>
    </row>
    <row r="29" spans="1:12">
      <c r="A29" s="93">
        <v>10</v>
      </c>
      <c r="B29" s="98"/>
      <c r="C29" s="31"/>
      <c r="D29" s="98"/>
      <c r="E29" s="98"/>
      <c r="F29" s="98"/>
      <c r="G29" s="115"/>
      <c r="H29" s="115"/>
      <c r="I29" s="115"/>
      <c r="J29" s="112"/>
      <c r="K29" s="115"/>
    </row>
    <row r="30" spans="1:12">
      <c r="A30" s="93">
        <v>11</v>
      </c>
      <c r="B30" s="98"/>
      <c r="C30" s="31"/>
      <c r="D30" s="98"/>
      <c r="E30" s="98"/>
      <c r="F30" s="98"/>
      <c r="G30" s="115"/>
      <c r="H30" s="115"/>
      <c r="I30" s="115"/>
      <c r="J30" s="112"/>
      <c r="K30" s="115"/>
    </row>
    <row r="31" spans="1:12">
      <c r="A31" s="93">
        <v>12</v>
      </c>
      <c r="B31" s="98"/>
      <c r="C31" s="31"/>
      <c r="D31" s="98"/>
      <c r="E31" s="98"/>
      <c r="F31" s="98"/>
      <c r="G31" s="115"/>
      <c r="H31" s="115"/>
      <c r="I31" s="115"/>
      <c r="J31" s="112"/>
      <c r="K31" s="115"/>
    </row>
    <row r="32" spans="1:12">
      <c r="A32" s="97">
        <v>13</v>
      </c>
      <c r="B32" s="98"/>
      <c r="C32" s="31"/>
      <c r="D32" s="98"/>
      <c r="E32" s="98"/>
      <c r="F32" s="98"/>
      <c r="G32" s="115"/>
      <c r="H32" s="115"/>
      <c r="I32" s="115"/>
      <c r="J32" s="112"/>
      <c r="K32" s="115"/>
    </row>
    <row r="33" spans="1:11">
      <c r="A33" s="93">
        <v>14</v>
      </c>
      <c r="B33" s="98"/>
      <c r="C33" s="31"/>
      <c r="D33" s="98"/>
      <c r="E33" s="98"/>
      <c r="F33" s="98"/>
      <c r="G33" s="115"/>
      <c r="H33" s="115"/>
      <c r="I33" s="115"/>
      <c r="J33" s="112"/>
      <c r="K33" s="115"/>
    </row>
    <row r="34" spans="1:11">
      <c r="A34" s="93">
        <v>15</v>
      </c>
      <c r="B34" s="98"/>
      <c r="C34" s="31"/>
      <c r="D34" s="98"/>
      <c r="E34" s="98"/>
      <c r="F34" s="98"/>
      <c r="G34" s="115"/>
      <c r="H34" s="115"/>
      <c r="I34" s="115"/>
      <c r="J34" s="112"/>
      <c r="K34" s="115"/>
    </row>
    <row r="35" spans="1:11">
      <c r="A35" s="93">
        <v>16</v>
      </c>
      <c r="B35" s="98"/>
      <c r="C35" s="31"/>
      <c r="D35" s="98"/>
      <c r="E35" s="98"/>
      <c r="F35" s="98"/>
      <c r="G35" s="115"/>
      <c r="H35" s="115"/>
      <c r="I35" s="115"/>
      <c r="J35" s="112"/>
      <c r="K35" s="115"/>
    </row>
    <row r="36" spans="1:11">
      <c r="A36" s="97">
        <v>17</v>
      </c>
      <c r="B36" s="98"/>
      <c r="C36" s="31"/>
      <c r="D36" s="98"/>
      <c r="E36" s="98"/>
      <c r="F36" s="98"/>
      <c r="G36" s="115"/>
      <c r="H36" s="115"/>
      <c r="I36" s="115"/>
      <c r="J36" s="112"/>
      <c r="K36" s="115"/>
    </row>
    <row r="37" spans="1:11">
      <c r="A37" s="93">
        <v>18</v>
      </c>
      <c r="B37" s="98"/>
      <c r="C37" s="31"/>
      <c r="D37" s="98"/>
      <c r="E37" s="98"/>
      <c r="F37" s="98"/>
      <c r="G37" s="115"/>
      <c r="H37" s="115"/>
      <c r="I37" s="115"/>
      <c r="J37" s="112"/>
      <c r="K37" s="115"/>
    </row>
    <row r="38" spans="1:11">
      <c r="A38" s="93">
        <v>19</v>
      </c>
      <c r="B38" s="98"/>
      <c r="C38" s="31"/>
      <c r="D38" s="98"/>
      <c r="E38" s="98"/>
      <c r="F38" s="98"/>
      <c r="G38" s="115"/>
      <c r="H38" s="115"/>
      <c r="I38" s="115"/>
      <c r="J38" s="112"/>
      <c r="K38" s="115"/>
    </row>
    <row r="39" spans="1:11">
      <c r="A39" s="93">
        <v>20</v>
      </c>
      <c r="B39" s="98"/>
      <c r="C39" s="31"/>
      <c r="D39" s="98"/>
      <c r="E39" s="98"/>
      <c r="F39" s="98"/>
      <c r="G39" s="115"/>
      <c r="H39" s="115"/>
      <c r="I39" s="115"/>
      <c r="J39" s="112"/>
      <c r="K39" s="115"/>
    </row>
    <row r="40" spans="1:11">
      <c r="A40" s="99"/>
      <c r="B40" s="100">
        <f>COUNTA(B20:B39)</f>
        <v>5</v>
      </c>
      <c r="C40" s="100"/>
      <c r="D40" s="100"/>
      <c r="E40" s="100"/>
      <c r="F40" s="100"/>
      <c r="G40" s="101">
        <f>SUM(G20:G39)</f>
        <v>0</v>
      </c>
      <c r="H40" s="101"/>
      <c r="I40" s="101">
        <f>SUM(I20:I39)</f>
        <v>18000000</v>
      </c>
      <c r="J40" s="113"/>
      <c r="K40" s="101">
        <f>SUM(K20:K39)</f>
        <v>0</v>
      </c>
    </row>
    <row r="43" spans="1:11">
      <c r="D43" s="10"/>
      <c r="E43" s="10"/>
    </row>
    <row r="47" spans="1:11">
      <c r="D47" s="10"/>
      <c r="E47" s="10"/>
    </row>
  </sheetData>
  <sheetProtection password="CC71" sheet="1" objects="1" scenarios="1"/>
  <protectedRanges>
    <protectedRange sqref="G12 G15" name="範囲2"/>
    <protectedRange sqref="B8 C10:D11 C12:C15 B20:I39 K20:K39" name="範囲1"/>
  </protectedRanges>
  <mergeCells count="5">
    <mergeCell ref="G10:H10"/>
    <mergeCell ref="A10:A13"/>
    <mergeCell ref="A14:A15"/>
    <mergeCell ref="C10:D10"/>
    <mergeCell ref="C11:D11"/>
  </mergeCells>
  <phoneticPr fontId="2"/>
  <dataValidations count="5">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C20:C39 C13">
      <formula1>1</formula1>
      <formula2>9999999999999</formula2>
    </dataValidation>
    <dataValidation type="list" imeMode="off" allowBlank="1" showInputMessage="1" showErrorMessage="1" sqref="G12">
      <formula1>$A$20:$A$39</formula1>
    </dataValidation>
    <dataValidation type="list" allowBlank="1" showInputMessage="1" showErrorMessage="1" sqref="G15">
      <formula1>"印字する,印字しない"</formula1>
    </dataValidation>
    <dataValidation type="whole" imeMode="off" allowBlank="1" showInputMessage="1" showErrorMessage="1" error="半角で8桁を入力してください。" prompt="半角で8桁を入力してください。" sqref="C15">
      <formula1>0</formula1>
      <formula2>99999999</formula2>
    </dataValidation>
    <dataValidation type="whole" imeMode="off" allowBlank="1" showInputMessage="1" showErrorMessage="1" error="半角で5桁を入力してください。" prompt="半角で5桁を入力してください。" sqref="C14">
      <formula1>0</formula1>
      <formula2>99999</formula2>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C48"/>
  <sheetViews>
    <sheetView workbookViewId="0">
      <selection activeCell="A3" sqref="A3"/>
    </sheetView>
  </sheetViews>
  <sheetFormatPr defaultColWidth="2.33203125" defaultRowHeight="12"/>
  <cols>
    <col min="1" max="1" width="2.5546875" style="4" customWidth="1"/>
    <col min="2" max="24" width="2.44140625" style="4" customWidth="1"/>
    <col min="25" max="37" width="2.44140625" style="33" customWidth="1"/>
    <col min="38" max="42" width="2.44140625" style="17" customWidth="1"/>
    <col min="43" max="78" width="2.44140625" style="33" customWidth="1"/>
    <col min="79" max="79" width="2.5546875" style="4" customWidth="1"/>
    <col min="80" max="16384" width="2.33203125" style="4"/>
  </cols>
  <sheetData>
    <row r="1" spans="1:81">
      <c r="A1" s="3" t="s">
        <v>98</v>
      </c>
      <c r="F1" s="1"/>
      <c r="K1" s="1"/>
    </row>
    <row r="2" spans="1:81">
      <c r="A2" s="3" t="s">
        <v>99</v>
      </c>
      <c r="F2" s="1"/>
      <c r="K2" s="1"/>
    </row>
    <row r="3" spans="1:81">
      <c r="A3" s="3"/>
      <c r="F3" s="1"/>
      <c r="K3" s="1"/>
    </row>
    <row r="4" spans="1:81" s="5" customFormat="1" ht="14.4">
      <c r="H4" s="6" t="s">
        <v>8</v>
      </c>
      <c r="I4" s="131">
        <f>+'fud-data'!$B$8</f>
        <v>28</v>
      </c>
      <c r="J4" s="131"/>
      <c r="K4" s="131"/>
      <c r="L4" s="5" t="s">
        <v>52</v>
      </c>
      <c r="AB4" s="34"/>
      <c r="AC4" s="34"/>
      <c r="AD4" s="34"/>
      <c r="AE4" s="34"/>
      <c r="AF4" s="34"/>
      <c r="AG4" s="34"/>
      <c r="AH4" s="34"/>
      <c r="AI4" s="34"/>
      <c r="AJ4" s="34"/>
      <c r="AK4" s="34"/>
      <c r="AL4" s="34"/>
      <c r="AM4" s="34"/>
      <c r="AN4" s="34"/>
      <c r="AO4" s="17"/>
      <c r="AP4" s="17"/>
      <c r="AW4" s="6" t="s">
        <v>8</v>
      </c>
      <c r="AX4" s="131">
        <f>+'fud-data'!$B$8</f>
        <v>28</v>
      </c>
      <c r="AY4" s="131"/>
      <c r="AZ4" s="131"/>
      <c r="BA4" s="5" t="s">
        <v>52</v>
      </c>
      <c r="BQ4" s="34"/>
      <c r="BR4" s="34"/>
      <c r="BS4" s="34"/>
      <c r="BT4" s="34"/>
      <c r="BU4" s="34"/>
      <c r="BV4" s="34"/>
      <c r="BW4" s="34"/>
      <c r="BX4" s="34"/>
      <c r="BY4" s="34"/>
      <c r="BZ4" s="34"/>
      <c r="CA4" s="34"/>
      <c r="CB4" s="34"/>
      <c r="CC4" s="34"/>
    </row>
    <row r="5" spans="1:81" ht="23.4" customHeight="1">
      <c r="A5" s="7"/>
      <c r="B5" s="122" t="s">
        <v>18</v>
      </c>
      <c r="C5" s="123"/>
      <c r="D5" s="124"/>
      <c r="E5" s="143" t="s">
        <v>12</v>
      </c>
      <c r="F5" s="144"/>
      <c r="G5" s="144"/>
      <c r="H5" s="144"/>
      <c r="I5" s="62"/>
      <c r="J5" s="63"/>
      <c r="K5" s="82" t="str">
        <f>VLOOKUP('fud-data'!$G$12,'fud-data'!$A$20:$K$39,4,1)&amp;""</f>
        <v>東京都○○区○○町1-2-3</v>
      </c>
      <c r="L5" s="63"/>
      <c r="M5" s="8"/>
      <c r="N5" s="8"/>
      <c r="O5" s="9"/>
      <c r="P5" s="9"/>
      <c r="Q5" s="9"/>
      <c r="R5" s="9"/>
      <c r="S5" s="9"/>
      <c r="T5" s="9"/>
      <c r="U5" s="9"/>
      <c r="V5" s="9"/>
      <c r="W5" s="9"/>
      <c r="X5" s="9"/>
      <c r="Y5" s="35"/>
      <c r="Z5" s="35"/>
      <c r="AA5" s="35"/>
      <c r="AB5" s="35"/>
      <c r="AC5" s="35"/>
      <c r="AD5" s="35"/>
      <c r="AE5" s="35"/>
      <c r="AF5" s="35"/>
      <c r="AG5" s="35"/>
      <c r="AH5" s="35"/>
      <c r="AI5" s="35"/>
      <c r="AJ5" s="35"/>
      <c r="AK5" s="36"/>
      <c r="AQ5" s="132" t="s">
        <v>18</v>
      </c>
      <c r="AR5" s="133"/>
      <c r="AS5" s="134"/>
      <c r="AT5" s="141" t="s">
        <v>12</v>
      </c>
      <c r="AU5" s="142"/>
      <c r="AV5" s="142"/>
      <c r="AW5" s="142"/>
      <c r="AX5" s="64"/>
      <c r="AY5" s="65"/>
      <c r="AZ5" s="84" t="str">
        <f>VLOOKUP('fud-data'!$G$12+2,'fud-data'!$A$20:$K$39,4,1)&amp;""</f>
        <v>東京都○○区○○町7-8-9</v>
      </c>
      <c r="BA5" s="65"/>
      <c r="BB5" s="37"/>
      <c r="BC5" s="37"/>
      <c r="BD5" s="35"/>
      <c r="BE5" s="35"/>
      <c r="BF5" s="35"/>
      <c r="BG5" s="35"/>
      <c r="BH5" s="35"/>
      <c r="BI5" s="35"/>
      <c r="BJ5" s="35"/>
      <c r="BK5" s="35"/>
      <c r="BL5" s="35"/>
      <c r="BM5" s="35"/>
      <c r="BN5" s="35"/>
      <c r="BO5" s="35"/>
      <c r="BP5" s="35"/>
      <c r="BQ5" s="35"/>
      <c r="BR5" s="35"/>
      <c r="BS5" s="35"/>
      <c r="BT5" s="35"/>
      <c r="BU5" s="35"/>
      <c r="BV5" s="35"/>
      <c r="BW5" s="35"/>
      <c r="BX5" s="35"/>
      <c r="BY5" s="35"/>
      <c r="BZ5" s="36"/>
    </row>
    <row r="6" spans="1:81" s="10" customFormat="1" ht="10.8" customHeight="1">
      <c r="B6" s="125"/>
      <c r="C6" s="126"/>
      <c r="D6" s="127"/>
      <c r="E6" s="122" t="s">
        <v>15</v>
      </c>
      <c r="F6" s="123"/>
      <c r="G6" s="123"/>
      <c r="H6" s="124"/>
      <c r="I6" s="21"/>
      <c r="J6" s="22"/>
      <c r="K6" s="22"/>
      <c r="L6" s="22"/>
      <c r="M6" s="15"/>
      <c r="N6" s="23"/>
      <c r="O6" s="14"/>
      <c r="P6" s="14"/>
      <c r="Q6" s="14"/>
      <c r="R6" s="14"/>
      <c r="S6" s="14"/>
      <c r="T6" s="14"/>
      <c r="U6" s="14"/>
      <c r="V6" s="14"/>
      <c r="W6" s="14"/>
      <c r="X6" s="16"/>
      <c r="Y6" s="171" t="s">
        <v>14</v>
      </c>
      <c r="Z6" s="171"/>
      <c r="AA6" s="171"/>
      <c r="AB6" s="171"/>
      <c r="AC6" s="171"/>
      <c r="AD6" s="171"/>
      <c r="AE6" s="171"/>
      <c r="AF6" s="171"/>
      <c r="AG6" s="171"/>
      <c r="AH6" s="171"/>
      <c r="AI6" s="171"/>
      <c r="AJ6" s="171"/>
      <c r="AK6" s="171"/>
      <c r="AL6" s="17"/>
      <c r="AM6" s="17"/>
      <c r="AN6" s="17"/>
      <c r="AO6" s="17"/>
      <c r="AP6" s="17"/>
      <c r="AQ6" s="135"/>
      <c r="AR6" s="136"/>
      <c r="AS6" s="137"/>
      <c r="AT6" s="132" t="s">
        <v>15</v>
      </c>
      <c r="AU6" s="133"/>
      <c r="AV6" s="133"/>
      <c r="AW6" s="134"/>
      <c r="AX6" s="38"/>
      <c r="AY6" s="39"/>
      <c r="AZ6" s="39"/>
      <c r="BA6" s="39"/>
      <c r="BB6" s="40"/>
      <c r="BC6" s="41"/>
      <c r="BD6" s="42"/>
      <c r="BE6" s="42"/>
      <c r="BF6" s="42"/>
      <c r="BG6" s="42"/>
      <c r="BH6" s="42"/>
      <c r="BI6" s="42"/>
      <c r="BJ6" s="42"/>
      <c r="BK6" s="42"/>
      <c r="BL6" s="42"/>
      <c r="BM6" s="43"/>
      <c r="BN6" s="171" t="s">
        <v>14</v>
      </c>
      <c r="BO6" s="171"/>
      <c r="BP6" s="171"/>
      <c r="BQ6" s="171"/>
      <c r="BR6" s="171"/>
      <c r="BS6" s="171"/>
      <c r="BT6" s="171"/>
      <c r="BU6" s="171"/>
      <c r="BV6" s="171"/>
      <c r="BW6" s="171"/>
      <c r="BX6" s="171"/>
      <c r="BY6" s="171"/>
      <c r="BZ6" s="171"/>
    </row>
    <row r="7" spans="1:81" ht="19.2">
      <c r="A7" s="11"/>
      <c r="B7" s="128"/>
      <c r="C7" s="129"/>
      <c r="D7" s="130"/>
      <c r="E7" s="128"/>
      <c r="F7" s="129"/>
      <c r="G7" s="129"/>
      <c r="H7" s="130"/>
      <c r="I7" s="19"/>
      <c r="J7" s="20"/>
      <c r="K7" s="83" t="str">
        <f>VLOOKUP('fud-data'!$G$12,'fud-data'!$A$20:$K$39,2,1)&amp;""</f>
        <v>不動産太郎</v>
      </c>
      <c r="L7" s="20"/>
      <c r="N7" s="20"/>
      <c r="O7" s="20"/>
      <c r="P7" s="20"/>
      <c r="Q7" s="20"/>
      <c r="R7" s="20"/>
      <c r="S7" s="20"/>
      <c r="T7" s="20"/>
      <c r="U7" s="20"/>
      <c r="V7" s="20"/>
      <c r="W7" s="20"/>
      <c r="Y7" s="44" t="str">
        <f>IF($AK$7="","",IF(VLOOKUP('fud-data'!$G$12,'fud-data'!$A$20:$K$39,3,1)="","",IF(VLOOKUP('fud-data'!$G$12,'fud-data'!$A$20:$K$39,3,1)&lt;1000000000000,"",LEFT((RIGHT(VLOOKUP('fud-data'!$G$12,'fud-data'!$A$20:$K$39,3,1)+10000000000000,13)),1))))</f>
        <v/>
      </c>
      <c r="Z7" s="45" t="str">
        <f>IF($AK$7="","",IF(VLOOKUP('fud-data'!$G$12,'fud-data'!$A$20:$K$39,3,1)="","",LEFT((RIGHT(VLOOKUP('fud-data'!$G$12,'fud-data'!$A$20:$K$39,3,1)+10000000000000,12)),1)))</f>
        <v>0</v>
      </c>
      <c r="AA7" s="46" t="str">
        <f>IF($AK$7="","",IF(VLOOKUP('fud-data'!$G$12,'fud-data'!$A$20:$K$39,3,1)="","",LEFT((RIGHT(VLOOKUP('fud-data'!$G$12,'fud-data'!$A$20:$K$39,3,1)+10000000000000,11)),1)))</f>
        <v>0</v>
      </c>
      <c r="AB7" s="46" t="str">
        <f>IF($AK$7="","",IF(VLOOKUP('fud-data'!$G$12,'fud-data'!$A$20:$K$39,3,1)="","",LEFT((RIGHT(VLOOKUP('fud-data'!$G$12,'fud-data'!$A$20:$K$39,3,1)+10000000000000,10)),1)))</f>
        <v>0</v>
      </c>
      <c r="AC7" s="47" t="str">
        <f>IF($AK$7="","",IF(VLOOKUP('fud-data'!$G$12,'fud-data'!$A$20:$K$39,3,1)="","",LEFT((RIGHT(VLOOKUP('fud-data'!$G$12,'fud-data'!$A$20:$K$39,3,1)+10000000000000,9)),1)))</f>
        <v>0</v>
      </c>
      <c r="AD7" s="45" t="str">
        <f>IF($AK$7="","",IF(VLOOKUP('fud-data'!$G$12,'fud-data'!$A$20:$K$39,3,1)="","",LEFT((RIGHT(VLOOKUP('fud-data'!$G$12,'fud-data'!$A$20:$K$39,3,1)+10000000000000,8)),1)))</f>
        <v>0</v>
      </c>
      <c r="AE7" s="46" t="str">
        <f>IF($AK$7="","",IF(VLOOKUP('fud-data'!$G$12,'fud-data'!$A$20:$K$39,3,1)="","",LEFT((RIGHT(VLOOKUP('fud-data'!$G$12,'fud-data'!$A$20:$K$39,3,1)+10000000000000,7)),1)))</f>
        <v>0</v>
      </c>
      <c r="AF7" s="46" t="str">
        <f>IF($AK$7="","",IF(VLOOKUP('fud-data'!$G$12,'fud-data'!$A$20:$K$39,3,1)="","",LEFT((RIGHT(VLOOKUP('fud-data'!$G$12,'fud-data'!$A$20:$K$39,3,1)+10000000000000,6)),1)))</f>
        <v>0</v>
      </c>
      <c r="AG7" s="47" t="str">
        <f>IF($AK$7="","",IF(VLOOKUP('fud-data'!$G$12,'fud-data'!$A$20:$K$39,3,1)="","",LEFT((RIGHT(VLOOKUP('fud-data'!$G$12,'fud-data'!$A$20:$K$39,3,1)+10000000000000,5)),1)))</f>
        <v>0</v>
      </c>
      <c r="AH7" s="45" t="str">
        <f>IF($AK$7="","",IF(VLOOKUP('fud-data'!$G$12,'fud-data'!$A$20:$K$39,3,1)="","",LEFT((RIGHT(VLOOKUP('fud-data'!$G$12,'fud-data'!$A$20:$K$39,3,1)+10000000000000,4)),1)))</f>
        <v>0</v>
      </c>
      <c r="AI7" s="46" t="str">
        <f>IF($AK$7="","",IF(VLOOKUP('fud-data'!$G$12,'fud-data'!$A$20:$K$39,3,1)="","",LEFT((RIGHT(VLOOKUP('fud-data'!$G$12,'fud-data'!$A$20:$K$39,3,1)+10000000000000,3)),1)))</f>
        <v>1</v>
      </c>
      <c r="AJ7" s="46" t="str">
        <f>IF($AK$7="","",IF(VLOOKUP('fud-data'!$G$12,'fud-data'!$A$20:$K$39,3,1)="","",LEFT((RIGHT(VLOOKUP('fud-data'!$G$12,'fud-data'!$A$20:$K$39,3,1)+10000000000000,2)),1)))</f>
        <v>0</v>
      </c>
      <c r="AK7" s="48" t="str">
        <f>IF('fud-data'!$G$15="印字しない","",IF(VLOOKUP('fud-data'!$G$12,'fud-data'!$A$20:$K$39,3,1)="","",LEFT((RIGHT(VLOOKUP('fud-data'!$G$12,'fud-data'!$A$20:$K$39,3,1)+10000000000000,1)),1)))</f>
        <v>0</v>
      </c>
      <c r="AQ7" s="138"/>
      <c r="AR7" s="139"/>
      <c r="AS7" s="140"/>
      <c r="AT7" s="138"/>
      <c r="AU7" s="139"/>
      <c r="AV7" s="139"/>
      <c r="AW7" s="140"/>
      <c r="AX7" s="49"/>
      <c r="AY7" s="50"/>
      <c r="AZ7" s="85" t="str">
        <f>VLOOKUP('fud-data'!$G$12+2,'fud-data'!$A$20:$K$39,2,1)&amp;""</f>
        <v>不動産三郎</v>
      </c>
      <c r="BA7" s="50"/>
      <c r="BC7" s="50"/>
      <c r="BD7" s="50"/>
      <c r="BE7" s="50"/>
      <c r="BF7" s="50"/>
      <c r="BG7" s="50"/>
      <c r="BH7" s="50"/>
      <c r="BI7" s="50"/>
      <c r="BJ7" s="50"/>
      <c r="BK7" s="50"/>
      <c r="BL7" s="50"/>
      <c r="BN7" s="51" t="str">
        <f>IF($BZ$7="","",IF(VLOOKUP('fud-data'!$G$12+2,'fud-data'!$A$20:$K$39,3,1)="","",IF(VLOOKUP('fud-data'!$G$12+2,'fud-data'!$A$20:$K$39,3,1)&lt;1000000000000,"",LEFT((RIGHT(VLOOKUP('fud-data'!$G$12+2,'fud-data'!$A$20:$K$39,3,1)+10000000000000,13)),1))))</f>
        <v/>
      </c>
      <c r="BO7" s="44" t="str">
        <f>IF($BZ$7="","",IF(VLOOKUP('fud-data'!$G$12+2,'fud-data'!$A$20:$K$39,3,1)="","",LEFT((RIGHT(VLOOKUP('fud-data'!$G$12+2,'fud-data'!$A$20:$K$39,3,1)+10000000000000,12)),1)))</f>
        <v>0</v>
      </c>
      <c r="BP7" s="46" t="str">
        <f>IF($BZ$7="","",IF(VLOOKUP('fud-data'!$G$12+2,'fud-data'!$A$20:$K$39,3,1)="","",LEFT((RIGHT(VLOOKUP('fud-data'!$G$12+2,'fud-data'!$A$20:$K$39,3,1)+10000000000000,11)),1)))</f>
        <v>0</v>
      </c>
      <c r="BQ7" s="46" t="str">
        <f>IF($BZ$7="","",IF(VLOOKUP('fud-data'!$G$12+2,'fud-data'!$A$20:$K$39,3,1)="","",LEFT((RIGHT(VLOOKUP('fud-data'!$G$12+2,'fud-data'!$A$20:$K$39,3,1)+10000000000000,10)),1)))</f>
        <v>0</v>
      </c>
      <c r="BR7" s="48" t="str">
        <f>IF($BZ$7="","",IF(VLOOKUP('fud-data'!$G$12+2,'fud-data'!$A$20:$K$39,3,1)="","",LEFT((RIGHT(VLOOKUP('fud-data'!$G$12+2,'fud-data'!$A$20:$K$39,3,1)+10000000000000,9)),1)))</f>
        <v>0</v>
      </c>
      <c r="BS7" s="44" t="str">
        <f>IF($BZ$7="","",IF(VLOOKUP('fud-data'!$G$12+2,'fud-data'!$A$20:$K$39,3,1)="","",LEFT((RIGHT(VLOOKUP('fud-data'!$G$12+2,'fud-data'!$A$20:$K$39,3,1)+10000000000000,8)),1)))</f>
        <v>0</v>
      </c>
      <c r="BT7" s="46" t="str">
        <f>IF($BZ$7="","",IF(VLOOKUP('fud-data'!$G$12+2,'fud-data'!$A$20:$K$39,3,1)="","",LEFT((RIGHT(VLOOKUP('fud-data'!$G$12+2,'fud-data'!$A$20:$K$39,3,1)+10000000000000,7)),1)))</f>
        <v>0</v>
      </c>
      <c r="BU7" s="46" t="str">
        <f>IF($BZ$7="","",IF(VLOOKUP('fud-data'!$G$12+2,'fud-data'!$A$20:$K$39,3,1)="","",LEFT((RIGHT(VLOOKUP('fud-data'!$G$12+2,'fud-data'!$A$20:$K$39,3,1)+10000000000000,6)),1)))</f>
        <v>0</v>
      </c>
      <c r="BV7" s="48" t="str">
        <f>IF($BZ$7="","",IF(VLOOKUP('fud-data'!$G$12+2,'fud-data'!$A$20:$K$39,3,1)="","",LEFT((RIGHT(VLOOKUP('fud-data'!$G$12+2,'fud-data'!$A$20:$K$39,3,1)+10000000000000,5)),1)))</f>
        <v>0</v>
      </c>
      <c r="BW7" s="44" t="str">
        <f>IF($BZ$7="","",IF(VLOOKUP('fud-data'!$G$12+2,'fud-data'!$A$20:$K$39,3,1)="","",LEFT((RIGHT(VLOOKUP('fud-data'!$G$12+2,'fud-data'!$A$20:$K$39,3,1)+10000000000000,4)),1)))</f>
        <v>0</v>
      </c>
      <c r="BX7" s="46" t="str">
        <f>IF($BZ$7="","",IF(VLOOKUP('fud-data'!$G$12+2,'fud-data'!$A$20:$K$39,3,1)="","",LEFT((RIGHT(VLOOKUP('fud-data'!$G$12+2,'fud-data'!$A$20:$K$39,3,1)+10000000000000,3)),1)))</f>
        <v>3</v>
      </c>
      <c r="BY7" s="46" t="str">
        <f>IF($BZ$7="","",IF(VLOOKUP('fud-data'!$G$12+2,'fud-data'!$A$20:$K$39,3,1)="","",LEFT((RIGHT(VLOOKUP('fud-data'!$G$12+2,'fud-data'!$A$20:$K$39,3,1)+10000000000000,2)),1)))</f>
        <v>0</v>
      </c>
      <c r="BZ7" s="48" t="str">
        <f>IF('fud-data'!$G$15="印字しない","",IF(VLOOKUP('fud-data'!$G$12+2,'fud-data'!$A$20:$K$39,3,1)="","",LEFT((RIGHT(VLOOKUP('fud-data'!$G$12+2,'fud-data'!$A$20:$K$39,3,1)+10000000000000,1)),1)))</f>
        <v>0</v>
      </c>
    </row>
    <row r="8" spans="1:81" s="10" customFormat="1" ht="13.2" customHeight="1">
      <c r="A8" s="18"/>
      <c r="B8" s="192" t="s">
        <v>19</v>
      </c>
      <c r="C8" s="193"/>
      <c r="D8" s="194"/>
      <c r="E8" s="223" t="s">
        <v>53</v>
      </c>
      <c r="F8" s="223"/>
      <c r="G8" s="223"/>
      <c r="H8" s="223"/>
      <c r="I8" s="223"/>
      <c r="J8" s="223"/>
      <c r="K8" s="223"/>
      <c r="L8" s="223"/>
      <c r="M8" s="223"/>
      <c r="N8" s="192"/>
      <c r="O8" s="255" t="s">
        <v>20</v>
      </c>
      <c r="P8" s="256"/>
      <c r="Q8" s="256"/>
      <c r="R8" s="257"/>
      <c r="S8" s="192" t="s">
        <v>57</v>
      </c>
      <c r="T8" s="193"/>
      <c r="U8" s="193"/>
      <c r="V8" s="193"/>
      <c r="W8" s="193"/>
      <c r="X8" s="193"/>
      <c r="Y8" s="193"/>
      <c r="Z8" s="193"/>
      <c r="AA8" s="193"/>
      <c r="AB8" s="194"/>
      <c r="AC8" s="179" t="s">
        <v>21</v>
      </c>
      <c r="AD8" s="179"/>
      <c r="AE8" s="179"/>
      <c r="AF8" s="179"/>
      <c r="AG8" s="179"/>
      <c r="AH8" s="179"/>
      <c r="AI8" s="179"/>
      <c r="AJ8" s="179"/>
      <c r="AK8" s="180"/>
      <c r="AL8" s="17"/>
      <c r="AM8" s="17"/>
      <c r="AN8" s="17"/>
      <c r="AO8" s="17"/>
      <c r="AP8" s="17"/>
      <c r="AQ8" s="192" t="s">
        <v>19</v>
      </c>
      <c r="AR8" s="193"/>
      <c r="AS8" s="194"/>
      <c r="AT8" s="223" t="s">
        <v>53</v>
      </c>
      <c r="AU8" s="223"/>
      <c r="AV8" s="223"/>
      <c r="AW8" s="223"/>
      <c r="AX8" s="223"/>
      <c r="AY8" s="223"/>
      <c r="AZ8" s="223"/>
      <c r="BA8" s="223"/>
      <c r="BB8" s="223"/>
      <c r="BC8" s="192"/>
      <c r="BD8" s="255" t="s">
        <v>20</v>
      </c>
      <c r="BE8" s="256"/>
      <c r="BF8" s="256"/>
      <c r="BG8" s="257"/>
      <c r="BH8" s="192" t="s">
        <v>57</v>
      </c>
      <c r="BI8" s="193"/>
      <c r="BJ8" s="193"/>
      <c r="BK8" s="193"/>
      <c r="BL8" s="193"/>
      <c r="BM8" s="193"/>
      <c r="BN8" s="193"/>
      <c r="BO8" s="193"/>
      <c r="BP8" s="193"/>
      <c r="BQ8" s="194"/>
      <c r="BR8" s="179" t="s">
        <v>21</v>
      </c>
      <c r="BS8" s="179"/>
      <c r="BT8" s="179"/>
      <c r="BU8" s="179"/>
      <c r="BV8" s="179"/>
      <c r="BW8" s="179"/>
      <c r="BX8" s="179"/>
      <c r="BY8" s="179"/>
      <c r="BZ8" s="180"/>
    </row>
    <row r="9" spans="1:81" ht="19.2">
      <c r="A9" s="11"/>
      <c r="B9" s="239" t="str">
        <f>VLOOKUP('fud-data'!$G$12,'fud-data'!$A$20:$K$39,5,1)&amp;""</f>
        <v>地代</v>
      </c>
      <c r="C9" s="239"/>
      <c r="D9" s="239"/>
      <c r="E9" s="240" t="str">
        <f>VLOOKUP('fud-data'!$G$12,'fud-data'!$A$20:$K$39,6,1)&amp;""</f>
        <v>○○区○○町1-2-3</v>
      </c>
      <c r="F9" s="240"/>
      <c r="G9" s="240"/>
      <c r="H9" s="240"/>
      <c r="I9" s="240"/>
      <c r="J9" s="240"/>
      <c r="K9" s="240"/>
      <c r="L9" s="240"/>
      <c r="M9" s="240"/>
      <c r="N9" s="240"/>
      <c r="O9" s="241" t="str">
        <f>VLOOKUP('fud-data'!$G$12,'fud-data'!$A$20:$K$39,7,1)&amp;""</f>
        <v>駐車場</v>
      </c>
      <c r="P9" s="241"/>
      <c r="Q9" s="241"/>
      <c r="R9" s="241"/>
      <c r="S9" s="241" t="str">
        <f>+VLOOKUP('fud-data'!$G$12,'fud-data'!$A$20:$K$39,8,1)&amp;""</f>
        <v>100,000×12</v>
      </c>
      <c r="T9" s="241"/>
      <c r="U9" s="241"/>
      <c r="V9" s="241"/>
      <c r="W9" s="241"/>
      <c r="X9" s="241"/>
      <c r="Y9" s="241"/>
      <c r="Z9" s="241"/>
      <c r="AA9" s="241"/>
      <c r="AB9" s="241"/>
      <c r="AC9" s="264">
        <f>IF(VLOOKUP('fud-data'!$G$12,'fud-data'!$A$20:$K$39,9,1)=0,"",VLOOKUP('fud-data'!$G$12,'fud-data'!$A$20:$K$39,9,1))</f>
        <v>1200000</v>
      </c>
      <c r="AD9" s="264"/>
      <c r="AE9" s="264"/>
      <c r="AF9" s="264"/>
      <c r="AG9" s="264"/>
      <c r="AH9" s="264"/>
      <c r="AI9" s="264"/>
      <c r="AJ9" s="264"/>
      <c r="AK9" s="264"/>
      <c r="AL9" s="33"/>
      <c r="AM9" s="33"/>
      <c r="AN9" s="33"/>
      <c r="AO9" s="33"/>
      <c r="AP9" s="33"/>
      <c r="AQ9" s="239" t="str">
        <f>VLOOKUP('fud-data'!$G$12+2,'fud-data'!$A$20:$K$39,5,1)&amp;""</f>
        <v>権利金</v>
      </c>
      <c r="AR9" s="239"/>
      <c r="AS9" s="239"/>
      <c r="AT9" s="240" t="str">
        <f>VLOOKUP('fud-data'!$G$12+2,'fud-data'!$A$20:$K$39,6,1)&amp;""</f>
        <v>○○区○○町7-8-9</v>
      </c>
      <c r="AU9" s="240"/>
      <c r="AV9" s="240"/>
      <c r="AW9" s="240"/>
      <c r="AX9" s="240"/>
      <c r="AY9" s="240"/>
      <c r="AZ9" s="240"/>
      <c r="BA9" s="240"/>
      <c r="BB9" s="240"/>
      <c r="BC9" s="240"/>
      <c r="BD9" s="241" t="str">
        <f>VLOOKUP('fud-data'!$G$12+2,'fud-data'!$A$20:$K$39,7,1)&amp;""</f>
        <v>3F</v>
      </c>
      <c r="BE9" s="241"/>
      <c r="BF9" s="241"/>
      <c r="BG9" s="241"/>
      <c r="BH9" s="241" t="str">
        <f>+VLOOKUP('fud-data'!$G$12+2,'fud-data'!$A$20:$K$39,8,1)&amp;""</f>
        <v>300,000×12</v>
      </c>
      <c r="BI9" s="241"/>
      <c r="BJ9" s="241"/>
      <c r="BK9" s="241"/>
      <c r="BL9" s="241"/>
      <c r="BM9" s="241"/>
      <c r="BN9" s="241"/>
      <c r="BO9" s="241"/>
      <c r="BP9" s="241"/>
      <c r="BQ9" s="241"/>
      <c r="BR9" s="264">
        <f>IF(VLOOKUP('fud-data'!$G$12+2,'fud-data'!$A$20:$K$39,9,1)=0,"",VLOOKUP('fud-data'!$G$12+2,'fud-data'!$A$20:$K$39,9,1))</f>
        <v>3600000</v>
      </c>
      <c r="BS9" s="264"/>
      <c r="BT9" s="264"/>
      <c r="BU9" s="264"/>
      <c r="BV9" s="264"/>
      <c r="BW9" s="264"/>
      <c r="BX9" s="264"/>
      <c r="BY9" s="264"/>
      <c r="BZ9" s="264"/>
    </row>
    <row r="10" spans="1:81" ht="19.2">
      <c r="A10" s="11"/>
      <c r="B10" s="242"/>
      <c r="C10" s="242"/>
      <c r="D10" s="242"/>
      <c r="E10" s="243"/>
      <c r="F10" s="243"/>
      <c r="G10" s="243"/>
      <c r="H10" s="243"/>
      <c r="I10" s="243"/>
      <c r="J10" s="243"/>
      <c r="K10" s="243"/>
      <c r="L10" s="243"/>
      <c r="M10" s="243"/>
      <c r="N10" s="243"/>
      <c r="O10" s="244"/>
      <c r="P10" s="244"/>
      <c r="Q10" s="244"/>
      <c r="R10" s="244"/>
      <c r="S10" s="244"/>
      <c r="T10" s="244"/>
      <c r="U10" s="244"/>
      <c r="V10" s="244"/>
      <c r="W10" s="244"/>
      <c r="X10" s="244"/>
      <c r="Y10" s="244"/>
      <c r="Z10" s="244"/>
      <c r="AA10" s="244"/>
      <c r="AB10" s="244"/>
      <c r="AC10" s="191"/>
      <c r="AD10" s="191"/>
      <c r="AE10" s="191"/>
      <c r="AF10" s="191"/>
      <c r="AG10" s="191"/>
      <c r="AH10" s="191"/>
      <c r="AI10" s="191"/>
      <c r="AJ10" s="191"/>
      <c r="AK10" s="191"/>
      <c r="AQ10" s="242"/>
      <c r="AR10" s="242"/>
      <c r="AS10" s="242"/>
      <c r="AT10" s="243"/>
      <c r="AU10" s="243"/>
      <c r="AV10" s="243"/>
      <c r="AW10" s="243"/>
      <c r="AX10" s="243"/>
      <c r="AY10" s="243"/>
      <c r="AZ10" s="243"/>
      <c r="BA10" s="243"/>
      <c r="BB10" s="243"/>
      <c r="BC10" s="243"/>
      <c r="BD10" s="244"/>
      <c r="BE10" s="244"/>
      <c r="BF10" s="244"/>
      <c r="BG10" s="244"/>
      <c r="BH10" s="244"/>
      <c r="BI10" s="244"/>
      <c r="BJ10" s="244"/>
      <c r="BK10" s="244"/>
      <c r="BL10" s="244"/>
      <c r="BM10" s="244"/>
      <c r="BN10" s="244"/>
      <c r="BO10" s="244"/>
      <c r="BP10" s="244"/>
      <c r="BQ10" s="244"/>
      <c r="BR10" s="191"/>
      <c r="BS10" s="191"/>
      <c r="BT10" s="191"/>
      <c r="BU10" s="191"/>
      <c r="BV10" s="191"/>
      <c r="BW10" s="191"/>
      <c r="BX10" s="191"/>
      <c r="BY10" s="191"/>
      <c r="BZ10" s="191"/>
    </row>
    <row r="11" spans="1:81" ht="19.2">
      <c r="A11" s="11"/>
      <c r="B11" s="242"/>
      <c r="C11" s="242"/>
      <c r="D11" s="242"/>
      <c r="E11" s="243"/>
      <c r="F11" s="243"/>
      <c r="G11" s="243"/>
      <c r="H11" s="243"/>
      <c r="I11" s="243"/>
      <c r="J11" s="243"/>
      <c r="K11" s="243"/>
      <c r="L11" s="243"/>
      <c r="M11" s="243"/>
      <c r="N11" s="243"/>
      <c r="O11" s="244"/>
      <c r="P11" s="244"/>
      <c r="Q11" s="244"/>
      <c r="R11" s="244"/>
      <c r="S11" s="244"/>
      <c r="T11" s="244"/>
      <c r="U11" s="244"/>
      <c r="V11" s="244"/>
      <c r="W11" s="244"/>
      <c r="X11" s="244"/>
      <c r="Y11" s="244"/>
      <c r="Z11" s="244"/>
      <c r="AA11" s="244"/>
      <c r="AB11" s="244"/>
      <c r="AC11" s="191"/>
      <c r="AD11" s="191"/>
      <c r="AE11" s="191"/>
      <c r="AF11" s="191"/>
      <c r="AG11" s="191"/>
      <c r="AH11" s="191"/>
      <c r="AI11" s="191"/>
      <c r="AJ11" s="191"/>
      <c r="AK11" s="191"/>
      <c r="AQ11" s="242"/>
      <c r="AR11" s="242"/>
      <c r="AS11" s="242"/>
      <c r="AT11" s="243"/>
      <c r="AU11" s="243"/>
      <c r="AV11" s="243"/>
      <c r="AW11" s="243"/>
      <c r="AX11" s="243"/>
      <c r="AY11" s="243"/>
      <c r="AZ11" s="243"/>
      <c r="BA11" s="243"/>
      <c r="BB11" s="243"/>
      <c r="BC11" s="243"/>
      <c r="BD11" s="244"/>
      <c r="BE11" s="244"/>
      <c r="BF11" s="244"/>
      <c r="BG11" s="244"/>
      <c r="BH11" s="244"/>
      <c r="BI11" s="244"/>
      <c r="BJ11" s="244"/>
      <c r="BK11" s="244"/>
      <c r="BL11" s="244"/>
      <c r="BM11" s="244"/>
      <c r="BN11" s="244"/>
      <c r="BO11" s="244"/>
      <c r="BP11" s="244"/>
      <c r="BQ11" s="244"/>
      <c r="BR11" s="191"/>
      <c r="BS11" s="191"/>
      <c r="BT11" s="191"/>
      <c r="BU11" s="191"/>
      <c r="BV11" s="191"/>
      <c r="BW11" s="191"/>
      <c r="BX11" s="191"/>
      <c r="BY11" s="191"/>
      <c r="BZ11" s="191"/>
    </row>
    <row r="12" spans="1:81" ht="19.2">
      <c r="A12" s="11"/>
      <c r="B12" s="242"/>
      <c r="C12" s="242"/>
      <c r="D12" s="242"/>
      <c r="E12" s="243"/>
      <c r="F12" s="243"/>
      <c r="G12" s="243"/>
      <c r="H12" s="243"/>
      <c r="I12" s="243"/>
      <c r="J12" s="243"/>
      <c r="K12" s="243"/>
      <c r="L12" s="243"/>
      <c r="M12" s="243"/>
      <c r="N12" s="243"/>
      <c r="O12" s="244"/>
      <c r="P12" s="244"/>
      <c r="Q12" s="244"/>
      <c r="R12" s="244"/>
      <c r="S12" s="244"/>
      <c r="T12" s="244"/>
      <c r="U12" s="244"/>
      <c r="V12" s="244"/>
      <c r="W12" s="244"/>
      <c r="X12" s="244"/>
      <c r="Y12" s="244"/>
      <c r="Z12" s="244"/>
      <c r="AA12" s="244"/>
      <c r="AB12" s="244"/>
      <c r="AC12" s="191"/>
      <c r="AD12" s="191"/>
      <c r="AE12" s="191"/>
      <c r="AF12" s="191"/>
      <c r="AG12" s="191"/>
      <c r="AH12" s="191"/>
      <c r="AI12" s="191"/>
      <c r="AJ12" s="191"/>
      <c r="AK12" s="191"/>
      <c r="AQ12" s="242"/>
      <c r="AR12" s="242"/>
      <c r="AS12" s="242"/>
      <c r="AT12" s="243"/>
      <c r="AU12" s="243"/>
      <c r="AV12" s="243"/>
      <c r="AW12" s="243"/>
      <c r="AX12" s="243"/>
      <c r="AY12" s="243"/>
      <c r="AZ12" s="243"/>
      <c r="BA12" s="243"/>
      <c r="BB12" s="243"/>
      <c r="BC12" s="243"/>
      <c r="BD12" s="244"/>
      <c r="BE12" s="244"/>
      <c r="BF12" s="244"/>
      <c r="BG12" s="244"/>
      <c r="BH12" s="244"/>
      <c r="BI12" s="244"/>
      <c r="BJ12" s="244"/>
      <c r="BK12" s="244"/>
      <c r="BL12" s="244"/>
      <c r="BM12" s="244"/>
      <c r="BN12" s="244"/>
      <c r="BO12" s="244"/>
      <c r="BP12" s="244"/>
      <c r="BQ12" s="244"/>
      <c r="BR12" s="191"/>
      <c r="BS12" s="191"/>
      <c r="BT12" s="191"/>
      <c r="BU12" s="191"/>
      <c r="BV12" s="191"/>
      <c r="BW12" s="191"/>
      <c r="BX12" s="191"/>
      <c r="BY12" s="191"/>
      <c r="BZ12" s="191"/>
    </row>
    <row r="13" spans="1:81" ht="19.2">
      <c r="A13" s="11"/>
      <c r="B13" s="242"/>
      <c r="C13" s="242"/>
      <c r="D13" s="242"/>
      <c r="E13" s="243"/>
      <c r="F13" s="243"/>
      <c r="G13" s="243"/>
      <c r="H13" s="243"/>
      <c r="I13" s="243"/>
      <c r="J13" s="243"/>
      <c r="K13" s="243"/>
      <c r="L13" s="243"/>
      <c r="M13" s="243"/>
      <c r="N13" s="243"/>
      <c r="O13" s="244"/>
      <c r="P13" s="244"/>
      <c r="Q13" s="244"/>
      <c r="R13" s="244"/>
      <c r="S13" s="244"/>
      <c r="T13" s="244"/>
      <c r="U13" s="244"/>
      <c r="V13" s="244"/>
      <c r="W13" s="244"/>
      <c r="X13" s="244"/>
      <c r="Y13" s="244"/>
      <c r="Z13" s="244"/>
      <c r="AA13" s="244"/>
      <c r="AB13" s="244"/>
      <c r="AC13" s="191"/>
      <c r="AD13" s="191"/>
      <c r="AE13" s="191"/>
      <c r="AF13" s="191"/>
      <c r="AG13" s="191"/>
      <c r="AH13" s="191"/>
      <c r="AI13" s="191"/>
      <c r="AJ13" s="191"/>
      <c r="AK13" s="191"/>
      <c r="AQ13" s="242"/>
      <c r="AR13" s="242"/>
      <c r="AS13" s="242"/>
      <c r="AT13" s="243"/>
      <c r="AU13" s="243"/>
      <c r="AV13" s="243"/>
      <c r="AW13" s="243"/>
      <c r="AX13" s="243"/>
      <c r="AY13" s="243"/>
      <c r="AZ13" s="243"/>
      <c r="BA13" s="243"/>
      <c r="BB13" s="243"/>
      <c r="BC13" s="243"/>
      <c r="BD13" s="244"/>
      <c r="BE13" s="244"/>
      <c r="BF13" s="244"/>
      <c r="BG13" s="244"/>
      <c r="BH13" s="244"/>
      <c r="BI13" s="244"/>
      <c r="BJ13" s="244"/>
      <c r="BK13" s="244"/>
      <c r="BL13" s="244"/>
      <c r="BM13" s="244"/>
      <c r="BN13" s="244"/>
      <c r="BO13" s="244"/>
      <c r="BP13" s="244"/>
      <c r="BQ13" s="244"/>
      <c r="BR13" s="191"/>
      <c r="BS13" s="191"/>
      <c r="BT13" s="191"/>
      <c r="BU13" s="191"/>
      <c r="BV13" s="191"/>
      <c r="BW13" s="191"/>
      <c r="BX13" s="191"/>
      <c r="BY13" s="191"/>
      <c r="BZ13" s="191"/>
    </row>
    <row r="14" spans="1:81" ht="16.2" customHeight="1">
      <c r="A14" s="105"/>
      <c r="B14" s="145" t="s">
        <v>0</v>
      </c>
      <c r="C14" s="146"/>
      <c r="D14" s="146"/>
      <c r="E14" s="153" t="str">
        <f>VLOOKUP('fud-data'!$G$12,'fud-data'!$A$20:$K$39,11,1)&amp;""</f>
        <v>摘要1</v>
      </c>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4"/>
      <c r="AQ14" s="145" t="s">
        <v>0</v>
      </c>
      <c r="AR14" s="146"/>
      <c r="AS14" s="146"/>
      <c r="AT14" s="153" t="str">
        <f>VLOOKUP('fud-data'!$G$12+2,'fud-data'!$A$20:$K$39,11,1)&amp;""</f>
        <v>摘要3</v>
      </c>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4"/>
    </row>
    <row r="15" spans="1:81" ht="19.2">
      <c r="A15" s="11"/>
      <c r="B15" s="114" t="str">
        <f>IF(VLOOKUP('fud-data'!$G$12,'fud-data'!$A$20:$K$39,10,1)=0,"",VLOOKUP('fud-data'!$G$12,'fud-data'!$A$20:$K$39,10,1))</f>
        <v/>
      </c>
      <c r="C15" s="265" t="s">
        <v>59</v>
      </c>
      <c r="D15" s="268" t="s">
        <v>58</v>
      </c>
      <c r="E15" s="207" t="s">
        <v>64</v>
      </c>
      <c r="F15" s="238"/>
      <c r="G15" s="238"/>
      <c r="H15" s="238"/>
      <c r="I15" s="258"/>
      <c r="J15" s="259"/>
      <c r="K15" s="259"/>
      <c r="L15" s="259"/>
      <c r="M15" s="259"/>
      <c r="N15" s="259"/>
      <c r="O15" s="259"/>
      <c r="P15" s="259"/>
      <c r="Q15" s="259"/>
      <c r="R15" s="259"/>
      <c r="S15" s="259"/>
      <c r="T15" s="259"/>
      <c r="U15" s="259"/>
      <c r="V15" s="259"/>
      <c r="W15" s="259"/>
      <c r="X15" s="260"/>
      <c r="Y15" s="263" t="s">
        <v>62</v>
      </c>
      <c r="Z15" s="263"/>
      <c r="AA15" s="263"/>
      <c r="AB15" s="263"/>
      <c r="AC15" s="261" t="s">
        <v>61</v>
      </c>
      <c r="AD15" s="261"/>
      <c r="AE15" s="261"/>
      <c r="AF15" s="261"/>
      <c r="AG15" s="261"/>
      <c r="AH15" s="261"/>
      <c r="AI15" s="261"/>
      <c r="AJ15" s="261"/>
      <c r="AK15" s="262"/>
      <c r="AQ15" s="114" t="str">
        <f>IF(VLOOKUP('fud-data'!$G$12,'fud-data'!$A$20:$K$39,10,1)=0,"",VLOOKUP('fud-data'!$G$12,'fud-data'!$A$20:$K$39,10,1))</f>
        <v/>
      </c>
      <c r="AR15" s="265" t="s">
        <v>59</v>
      </c>
      <c r="AS15" s="268" t="s">
        <v>58</v>
      </c>
      <c r="AT15" s="207" t="s">
        <v>64</v>
      </c>
      <c r="AU15" s="238"/>
      <c r="AV15" s="238"/>
      <c r="AW15" s="238"/>
      <c r="AX15" s="258"/>
      <c r="AY15" s="259"/>
      <c r="AZ15" s="259"/>
      <c r="BA15" s="259"/>
      <c r="BB15" s="259"/>
      <c r="BC15" s="259"/>
      <c r="BD15" s="259"/>
      <c r="BE15" s="259"/>
      <c r="BF15" s="259"/>
      <c r="BG15" s="259"/>
      <c r="BH15" s="259"/>
      <c r="BI15" s="259"/>
      <c r="BJ15" s="259"/>
      <c r="BK15" s="259"/>
      <c r="BL15" s="259"/>
      <c r="BM15" s="260"/>
      <c r="BN15" s="263" t="s">
        <v>62</v>
      </c>
      <c r="BO15" s="263"/>
      <c r="BP15" s="263"/>
      <c r="BQ15" s="263"/>
      <c r="BR15" s="261" t="s">
        <v>61</v>
      </c>
      <c r="BS15" s="261"/>
      <c r="BT15" s="261"/>
      <c r="BU15" s="261"/>
      <c r="BV15" s="261"/>
      <c r="BW15" s="261"/>
      <c r="BX15" s="261"/>
      <c r="BY15" s="261"/>
      <c r="BZ15" s="262"/>
    </row>
    <row r="16" spans="1:81" ht="19.2">
      <c r="A16" s="11"/>
      <c r="B16" s="103"/>
      <c r="C16" s="266"/>
      <c r="D16" s="269"/>
      <c r="E16" s="207" t="s">
        <v>63</v>
      </c>
      <c r="F16" s="238"/>
      <c r="G16" s="238"/>
      <c r="H16" s="238"/>
      <c r="I16" s="227"/>
      <c r="J16" s="228"/>
      <c r="K16" s="228"/>
      <c r="L16" s="228"/>
      <c r="M16" s="228"/>
      <c r="N16" s="228"/>
      <c r="O16" s="228"/>
      <c r="P16" s="228"/>
      <c r="Q16" s="228"/>
      <c r="R16" s="228"/>
      <c r="S16" s="228"/>
      <c r="T16" s="228"/>
      <c r="U16" s="228"/>
      <c r="V16" s="228"/>
      <c r="W16" s="228"/>
      <c r="X16" s="229"/>
      <c r="Y16" s="233"/>
      <c r="Z16" s="233"/>
      <c r="AA16" s="233"/>
      <c r="AB16" s="233"/>
      <c r="AC16" s="234"/>
      <c r="AD16" s="234"/>
      <c r="AE16" s="234"/>
      <c r="AF16" s="234"/>
      <c r="AG16" s="234"/>
      <c r="AH16" s="234"/>
      <c r="AI16" s="234"/>
      <c r="AJ16" s="234"/>
      <c r="AK16" s="235"/>
      <c r="AQ16" s="103"/>
      <c r="AR16" s="266"/>
      <c r="AS16" s="269"/>
      <c r="AT16" s="207" t="s">
        <v>63</v>
      </c>
      <c r="AU16" s="238"/>
      <c r="AV16" s="238"/>
      <c r="AW16" s="238"/>
      <c r="AX16" s="227"/>
      <c r="AY16" s="228"/>
      <c r="AZ16" s="228"/>
      <c r="BA16" s="228"/>
      <c r="BB16" s="228"/>
      <c r="BC16" s="228"/>
      <c r="BD16" s="228"/>
      <c r="BE16" s="228"/>
      <c r="BF16" s="228"/>
      <c r="BG16" s="228"/>
      <c r="BH16" s="228"/>
      <c r="BI16" s="228"/>
      <c r="BJ16" s="228"/>
      <c r="BK16" s="228"/>
      <c r="BL16" s="228"/>
      <c r="BM16" s="229"/>
      <c r="BN16" s="233"/>
      <c r="BO16" s="233"/>
      <c r="BP16" s="233"/>
      <c r="BQ16" s="233"/>
      <c r="BR16" s="234"/>
      <c r="BS16" s="234"/>
      <c r="BT16" s="234"/>
      <c r="BU16" s="234"/>
      <c r="BV16" s="234"/>
      <c r="BW16" s="234"/>
      <c r="BX16" s="234"/>
      <c r="BY16" s="234"/>
      <c r="BZ16" s="235"/>
    </row>
    <row r="17" spans="1:81" ht="19.2">
      <c r="A17" s="11"/>
      <c r="B17" s="104"/>
      <c r="C17" s="267"/>
      <c r="D17" s="270"/>
      <c r="E17" s="129" t="s">
        <v>60</v>
      </c>
      <c r="F17" s="129"/>
      <c r="G17" s="129"/>
      <c r="H17" s="130"/>
      <c r="I17" s="106"/>
      <c r="J17" s="107"/>
      <c r="K17" s="108"/>
      <c r="L17" s="108"/>
      <c r="M17" s="109"/>
      <c r="N17" s="107"/>
      <c r="O17" s="108"/>
      <c r="P17" s="108"/>
      <c r="Q17" s="109"/>
      <c r="R17" s="107"/>
      <c r="S17" s="108"/>
      <c r="T17" s="108"/>
      <c r="U17" s="110"/>
      <c r="V17" s="230"/>
      <c r="W17" s="231"/>
      <c r="X17" s="232"/>
      <c r="Y17" s="233"/>
      <c r="Z17" s="233"/>
      <c r="AA17" s="233"/>
      <c r="AB17" s="233"/>
      <c r="AC17" s="236"/>
      <c r="AD17" s="236"/>
      <c r="AE17" s="236"/>
      <c r="AF17" s="236"/>
      <c r="AG17" s="236"/>
      <c r="AH17" s="236"/>
      <c r="AI17" s="236"/>
      <c r="AJ17" s="236"/>
      <c r="AK17" s="237"/>
      <c r="AQ17" s="104"/>
      <c r="AR17" s="267"/>
      <c r="AS17" s="270"/>
      <c r="AT17" s="129" t="s">
        <v>60</v>
      </c>
      <c r="AU17" s="129"/>
      <c r="AV17" s="129"/>
      <c r="AW17" s="130"/>
      <c r="AX17" s="106"/>
      <c r="AY17" s="107"/>
      <c r="AZ17" s="108"/>
      <c r="BA17" s="108"/>
      <c r="BB17" s="109"/>
      <c r="BC17" s="107"/>
      <c r="BD17" s="108"/>
      <c r="BE17" s="108"/>
      <c r="BF17" s="109"/>
      <c r="BG17" s="107"/>
      <c r="BH17" s="108"/>
      <c r="BI17" s="108"/>
      <c r="BJ17" s="110"/>
      <c r="BK17" s="230"/>
      <c r="BL17" s="231"/>
      <c r="BM17" s="232"/>
      <c r="BN17" s="233"/>
      <c r="BO17" s="233"/>
      <c r="BP17" s="233"/>
      <c r="BQ17" s="233"/>
      <c r="BR17" s="236"/>
      <c r="BS17" s="236"/>
      <c r="BT17" s="236"/>
      <c r="BU17" s="236"/>
      <c r="BV17" s="236"/>
      <c r="BW17" s="236"/>
      <c r="BX17" s="236"/>
      <c r="BY17" s="236"/>
      <c r="BZ17" s="237"/>
    </row>
    <row r="18" spans="1:81" ht="19.2" customHeight="1">
      <c r="A18" s="11"/>
      <c r="B18" s="147" t="s">
        <v>17</v>
      </c>
      <c r="C18" s="148"/>
      <c r="D18" s="149"/>
      <c r="E18" s="128" t="s">
        <v>12</v>
      </c>
      <c r="F18" s="129"/>
      <c r="G18" s="129"/>
      <c r="H18" s="129"/>
      <c r="I18" s="155" t="str">
        <f>+'fud-data'!$C$10</f>
        <v>東京都千代田区御助町1-2-3御助ビル4階</v>
      </c>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7"/>
      <c r="AQ18" s="210" t="s">
        <v>17</v>
      </c>
      <c r="AR18" s="211"/>
      <c r="AS18" s="212"/>
      <c r="AT18" s="141" t="s">
        <v>12</v>
      </c>
      <c r="AU18" s="142"/>
      <c r="AV18" s="142"/>
      <c r="AW18" s="142"/>
      <c r="AX18" s="158" t="str">
        <f>+'fud-data'!$C$10</f>
        <v>東京都千代田区御助町1-2-3御助ビル4階</v>
      </c>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60"/>
    </row>
    <row r="19" spans="1:81" s="12" customFormat="1" ht="10.8" customHeight="1">
      <c r="B19" s="147"/>
      <c r="C19" s="148"/>
      <c r="D19" s="149"/>
      <c r="E19" s="178" t="s">
        <v>16</v>
      </c>
      <c r="F19" s="178"/>
      <c r="G19" s="178"/>
      <c r="H19" s="178"/>
      <c r="I19" s="172" t="str">
        <f>+'fud-data'!$C$11</f>
        <v>株式会社ＲＥＳＣＵＥ ＲＡＮＧＥＲＳ</v>
      </c>
      <c r="J19" s="173"/>
      <c r="K19" s="173"/>
      <c r="L19" s="173"/>
      <c r="M19" s="173"/>
      <c r="N19" s="173"/>
      <c r="O19" s="173"/>
      <c r="P19" s="173"/>
      <c r="Q19" s="173"/>
      <c r="R19" s="173"/>
      <c r="S19" s="173"/>
      <c r="T19" s="173"/>
      <c r="U19" s="173"/>
      <c r="V19" s="173"/>
      <c r="W19" s="173"/>
      <c r="X19" s="174"/>
      <c r="Y19" s="171" t="s">
        <v>14</v>
      </c>
      <c r="Z19" s="171"/>
      <c r="AA19" s="171"/>
      <c r="AB19" s="171"/>
      <c r="AC19" s="171"/>
      <c r="AD19" s="171"/>
      <c r="AE19" s="171"/>
      <c r="AF19" s="171"/>
      <c r="AG19" s="171"/>
      <c r="AH19" s="171"/>
      <c r="AI19" s="171"/>
      <c r="AJ19" s="171"/>
      <c r="AK19" s="171"/>
      <c r="AL19" s="17"/>
      <c r="AM19" s="17"/>
      <c r="AN19" s="17"/>
      <c r="AO19" s="17"/>
      <c r="AP19" s="17"/>
      <c r="AQ19" s="210"/>
      <c r="AR19" s="211"/>
      <c r="AS19" s="212"/>
      <c r="AT19" s="216" t="s">
        <v>16</v>
      </c>
      <c r="AU19" s="216"/>
      <c r="AV19" s="216"/>
      <c r="AW19" s="216"/>
      <c r="AX19" s="217" t="str">
        <f>+'fud-data'!$C$11</f>
        <v>株式会社ＲＥＳＣＵＥ ＲＡＮＧＥＲＳ</v>
      </c>
      <c r="AY19" s="218"/>
      <c r="AZ19" s="218"/>
      <c r="BA19" s="218"/>
      <c r="BB19" s="218"/>
      <c r="BC19" s="218"/>
      <c r="BD19" s="218"/>
      <c r="BE19" s="218"/>
      <c r="BF19" s="218"/>
      <c r="BG19" s="218"/>
      <c r="BH19" s="218"/>
      <c r="BI19" s="218"/>
      <c r="BJ19" s="218"/>
      <c r="BK19" s="218"/>
      <c r="BL19" s="218"/>
      <c r="BM19" s="219"/>
      <c r="BN19" s="171" t="s">
        <v>14</v>
      </c>
      <c r="BO19" s="171"/>
      <c r="BP19" s="171"/>
      <c r="BQ19" s="171"/>
      <c r="BR19" s="171"/>
      <c r="BS19" s="171"/>
      <c r="BT19" s="171"/>
      <c r="BU19" s="171"/>
      <c r="BV19" s="171"/>
      <c r="BW19" s="171"/>
      <c r="BX19" s="171"/>
      <c r="BY19" s="171"/>
      <c r="BZ19" s="171"/>
    </row>
    <row r="20" spans="1:81" s="12" customFormat="1" ht="9.6" customHeight="1">
      <c r="B20" s="147"/>
      <c r="C20" s="148"/>
      <c r="D20" s="149"/>
      <c r="E20" s="178"/>
      <c r="F20" s="178"/>
      <c r="G20" s="178"/>
      <c r="H20" s="178"/>
      <c r="I20" s="175"/>
      <c r="J20" s="176"/>
      <c r="K20" s="176"/>
      <c r="L20" s="176"/>
      <c r="M20" s="176"/>
      <c r="N20" s="176"/>
      <c r="O20" s="176"/>
      <c r="P20" s="176"/>
      <c r="Q20" s="176"/>
      <c r="R20" s="176"/>
      <c r="S20" s="176"/>
      <c r="T20" s="176"/>
      <c r="U20" s="176"/>
      <c r="V20" s="176"/>
      <c r="W20" s="176"/>
      <c r="X20" s="177"/>
      <c r="Y20" s="181" t="str">
        <f>IF($AK$20="","",IF('fud-data'!$C$13="","",IF('fud-data'!$C$13&lt;1000000000000,"",LEFT((RIGHT('fud-data'!$C$13+10000000000000,13)),1))))</f>
        <v>1</v>
      </c>
      <c r="Z20" s="183" t="str">
        <f>IF($AK$20="","",IF('fud-data'!$C$13="","",LEFT((RIGHT('fud-data'!$C$13+10000000000000,12)),1)))</f>
        <v>2</v>
      </c>
      <c r="AA20" s="187" t="str">
        <f>IF($AK$20="","",IF('fud-data'!$C$13="","",LEFT((RIGHT('fud-data'!$C$13+10000000000000,11)),1)))</f>
        <v>3</v>
      </c>
      <c r="AB20" s="187" t="str">
        <f>IF($AK$20="","",IF('fud-data'!$C$13="","",LEFT((RIGHT('fud-data'!$C$13+10000000000000,10)),1)))</f>
        <v>4</v>
      </c>
      <c r="AC20" s="189" t="str">
        <f>IF($AK$20="","",IF('fud-data'!$C$13="","",LEFT((RIGHT('fud-data'!$C$13+10000000000000,9)),1)))</f>
        <v>5</v>
      </c>
      <c r="AD20" s="183" t="str">
        <f>IF($AK$20="","",IF('fud-data'!$C$13="","",LEFT((RIGHT('fud-data'!$C$13+10000000000000,8)),1)))</f>
        <v>6</v>
      </c>
      <c r="AE20" s="187" t="str">
        <f>IF($AK$20="","",IF('fud-data'!$C$13="","",LEFT((RIGHT('fud-data'!$C$13+10000000000000,7)),1)))</f>
        <v>7</v>
      </c>
      <c r="AF20" s="187" t="str">
        <f>IF($AK$20="","",IF('fud-data'!$C$13="","",LEFT((RIGHT('fud-data'!$C$13+10000000000000,6)),1)))</f>
        <v>8</v>
      </c>
      <c r="AG20" s="185" t="str">
        <f>IF($AK$20="","",IF('fud-data'!$C$13="","",LEFT((RIGHT('fud-data'!$C$13+10000000000000,5)),1)))</f>
        <v>9</v>
      </c>
      <c r="AH20" s="183" t="str">
        <f>IF($AK$20="","",IF('fud-data'!$C$13="","",LEFT((RIGHT('fud-data'!$C$13+10000000000000,4)),1)))</f>
        <v>0</v>
      </c>
      <c r="AI20" s="187" t="str">
        <f>IF($AK$20="","",IF('fud-data'!$C$13="","",LEFT((RIGHT('fud-data'!$C$13+10000000000000,3)),1)))</f>
        <v>1</v>
      </c>
      <c r="AJ20" s="187" t="str">
        <f>IF($AK$20="","",IF('fud-data'!$C$13="","",LEFT((RIGHT('fud-data'!$C$13+10000000000000,2)),1)))</f>
        <v>2</v>
      </c>
      <c r="AK20" s="208" t="str">
        <f>IF('fud-data'!$G$15="印字しない","",IF('fud-data'!$C$13="","",LEFT((RIGHT('fud-data'!$C$13+10000000000000,1)),1)))</f>
        <v>3</v>
      </c>
      <c r="AL20" s="17"/>
      <c r="AM20" s="17"/>
      <c r="AN20" s="17"/>
      <c r="AO20" s="17"/>
      <c r="AP20" s="17"/>
      <c r="AQ20" s="210"/>
      <c r="AR20" s="211"/>
      <c r="AS20" s="212"/>
      <c r="AT20" s="216"/>
      <c r="AU20" s="216"/>
      <c r="AV20" s="216"/>
      <c r="AW20" s="216"/>
      <c r="AX20" s="220"/>
      <c r="AY20" s="221"/>
      <c r="AZ20" s="221"/>
      <c r="BA20" s="221"/>
      <c r="BB20" s="221"/>
      <c r="BC20" s="221"/>
      <c r="BD20" s="221"/>
      <c r="BE20" s="221"/>
      <c r="BF20" s="221"/>
      <c r="BG20" s="221"/>
      <c r="BH20" s="221"/>
      <c r="BI20" s="221"/>
      <c r="BJ20" s="221"/>
      <c r="BK20" s="221"/>
      <c r="BL20" s="221"/>
      <c r="BM20" s="222"/>
      <c r="BN20" s="181" t="str">
        <f>IF($BZ$20="","",IF('fud-data'!$C$13="","",IF('fud-data'!$C$13&lt;1000000000000,"",LEFT((RIGHT('fud-data'!$C$13+10000000000000,13)),1))))</f>
        <v>1</v>
      </c>
      <c r="BO20" s="183" t="str">
        <f>IF($BZ$20="","",IF('fud-data'!$C$13="","",LEFT((RIGHT('fud-data'!$C$13+10000000000000,12)),1)))</f>
        <v>2</v>
      </c>
      <c r="BP20" s="187" t="str">
        <f>IF($BZ$20="","",IF('fud-data'!$C$13="","",LEFT((RIGHT('fud-data'!$C$13+10000000000000,11)),1)))</f>
        <v>3</v>
      </c>
      <c r="BQ20" s="187" t="str">
        <f>IF($BZ$20="","",IF('fud-data'!$C$13="","",LEFT((RIGHT('fud-data'!$C$13+10000000000000,10)),1)))</f>
        <v>4</v>
      </c>
      <c r="BR20" s="189" t="str">
        <f>IF($BZ$20="","",IF('fud-data'!$C$13="","",LEFT((RIGHT('fud-data'!$C$13+10000000000000,9)),1)))</f>
        <v>5</v>
      </c>
      <c r="BS20" s="183" t="str">
        <f>IF($BZ$20="","",IF('fud-data'!$C$13="","",LEFT((RIGHT('fud-data'!$C$13+10000000000000,8)),1)))</f>
        <v>6</v>
      </c>
      <c r="BT20" s="187" t="str">
        <f>IF($BZ$20="","",IF('fud-data'!$C$13="","",LEFT((RIGHT('fud-data'!$C$13+10000000000000,7)),1)))</f>
        <v>7</v>
      </c>
      <c r="BU20" s="187" t="str">
        <f>IF($BZ$20="","",IF('fud-data'!$C$13="","",LEFT((RIGHT('fud-data'!$C$13+10000000000000,6)),1)))</f>
        <v>8</v>
      </c>
      <c r="BV20" s="185" t="str">
        <f>IF($BZ$20="","",IF('fud-data'!$C$13="","",LEFT((RIGHT('fud-data'!$C$13+10000000000000,5)),1)))</f>
        <v>9</v>
      </c>
      <c r="BW20" s="183" t="str">
        <f>IF($BZ$20="","",IF('fud-data'!$C$13="","",LEFT((RIGHT('fud-data'!$C$13+10000000000000,4)),1)))</f>
        <v>0</v>
      </c>
      <c r="BX20" s="187" t="str">
        <f>IF($BZ$20="","",IF('fud-data'!$C$13="","",LEFT((RIGHT('fud-data'!$C$13+10000000000000,3)),1)))</f>
        <v>1</v>
      </c>
      <c r="BY20" s="187" t="str">
        <f>IF($BZ$20="","",IF('fud-data'!$C$13="","",LEFT((RIGHT('fud-data'!$C$13+10000000000000,2)),1)))</f>
        <v>2</v>
      </c>
      <c r="BZ20" s="208" t="str">
        <f>IF('fud-data'!$G$15="印字しない","",IF('fud-data'!$C$13="","",LEFT((RIGHT('fud-data'!$C$13+10000000000000,1)),1)))</f>
        <v>3</v>
      </c>
    </row>
    <row r="21" spans="1:81">
      <c r="A21" s="12"/>
      <c r="B21" s="150"/>
      <c r="C21" s="151"/>
      <c r="D21" s="152"/>
      <c r="E21" s="178"/>
      <c r="F21" s="178"/>
      <c r="G21" s="178"/>
      <c r="H21" s="178"/>
      <c r="I21" s="24"/>
      <c r="J21" s="25"/>
      <c r="K21" s="25"/>
      <c r="L21" s="26"/>
      <c r="M21" s="26"/>
      <c r="N21" s="27"/>
      <c r="O21" s="27"/>
      <c r="P21" s="26"/>
      <c r="Q21" s="26"/>
      <c r="R21" s="28" t="s">
        <v>11</v>
      </c>
      <c r="S21" s="26" t="str">
        <f>+'fud-data'!$C$12</f>
        <v>03-1234-5678</v>
      </c>
      <c r="T21" s="27"/>
      <c r="U21" s="27"/>
      <c r="V21" s="27"/>
      <c r="W21" s="27"/>
      <c r="X21" s="29"/>
      <c r="Y21" s="182"/>
      <c r="Z21" s="184"/>
      <c r="AA21" s="188"/>
      <c r="AB21" s="188"/>
      <c r="AC21" s="190"/>
      <c r="AD21" s="184"/>
      <c r="AE21" s="188"/>
      <c r="AF21" s="188"/>
      <c r="AG21" s="186"/>
      <c r="AH21" s="184"/>
      <c r="AI21" s="188"/>
      <c r="AJ21" s="188"/>
      <c r="AK21" s="209"/>
      <c r="AQ21" s="213"/>
      <c r="AR21" s="214"/>
      <c r="AS21" s="215"/>
      <c r="AT21" s="216"/>
      <c r="AU21" s="216"/>
      <c r="AV21" s="216"/>
      <c r="AW21" s="216"/>
      <c r="AX21" s="52"/>
      <c r="AY21" s="53"/>
      <c r="AZ21" s="53"/>
      <c r="BA21" s="54"/>
      <c r="BB21" s="54"/>
      <c r="BC21" s="55"/>
      <c r="BD21" s="55"/>
      <c r="BE21" s="54"/>
      <c r="BF21" s="54"/>
      <c r="BG21" s="56" t="s">
        <v>11</v>
      </c>
      <c r="BH21" s="54" t="str">
        <f>+'fud-data'!$C$12</f>
        <v>03-1234-5678</v>
      </c>
      <c r="BI21" s="55"/>
      <c r="BJ21" s="55"/>
      <c r="BK21" s="55"/>
      <c r="BL21" s="55"/>
      <c r="BM21" s="57"/>
      <c r="BN21" s="182"/>
      <c r="BO21" s="184"/>
      <c r="BP21" s="188"/>
      <c r="BQ21" s="188"/>
      <c r="BR21" s="190"/>
      <c r="BS21" s="184"/>
      <c r="BT21" s="188"/>
      <c r="BU21" s="188"/>
      <c r="BV21" s="186"/>
      <c r="BW21" s="184"/>
      <c r="BX21" s="188"/>
      <c r="BY21" s="188"/>
      <c r="BZ21" s="209"/>
    </row>
    <row r="22" spans="1:81" s="13" customFormat="1" ht="5.4">
      <c r="Y22" s="58"/>
      <c r="Z22" s="58"/>
      <c r="AA22" s="58"/>
      <c r="AB22" s="58"/>
      <c r="AC22" s="58"/>
      <c r="AD22" s="58"/>
      <c r="AE22" s="58"/>
      <c r="AF22" s="58"/>
      <c r="AG22" s="58"/>
      <c r="AH22" s="58"/>
      <c r="AI22" s="58"/>
      <c r="AJ22" s="58"/>
      <c r="AK22" s="58"/>
      <c r="AL22" s="58"/>
      <c r="AM22" s="58"/>
      <c r="AN22" s="58"/>
      <c r="AO22" s="58"/>
      <c r="AP22" s="58"/>
      <c r="BN22" s="58"/>
      <c r="BO22" s="58"/>
      <c r="BP22" s="58"/>
      <c r="BQ22" s="58"/>
      <c r="BR22" s="58"/>
      <c r="BS22" s="58"/>
      <c r="BT22" s="58"/>
      <c r="BU22" s="58"/>
      <c r="BV22" s="58"/>
      <c r="BW22" s="58"/>
      <c r="BX22" s="58"/>
      <c r="BY22" s="58"/>
      <c r="BZ22" s="58"/>
    </row>
    <row r="23" spans="1:81">
      <c r="B23" s="164" t="s">
        <v>38</v>
      </c>
      <c r="C23" s="165"/>
      <c r="D23" s="165"/>
      <c r="E23" s="165"/>
      <c r="F23" s="165"/>
      <c r="G23" s="165"/>
      <c r="H23" s="165"/>
      <c r="I23" s="166"/>
      <c r="J23" s="161">
        <f>IF('fud-data'!$G$15="印字しない","",IF('fud-data'!$C$14="","",+'fud-data'!$C$14))</f>
        <v>54321</v>
      </c>
      <c r="K23" s="162"/>
      <c r="L23" s="162"/>
      <c r="M23" s="162"/>
      <c r="N23" s="162"/>
      <c r="O23" s="162"/>
      <c r="P23" s="163"/>
      <c r="Q23" s="164" t="s">
        <v>37</v>
      </c>
      <c r="R23" s="165"/>
      <c r="S23" s="165"/>
      <c r="T23" s="165"/>
      <c r="U23" s="165"/>
      <c r="V23" s="165"/>
      <c r="W23" s="165"/>
      <c r="X23" s="166"/>
      <c r="Y23" s="167">
        <f>IF('fud-data'!$G$15="印字しない","",IF('fud-data'!$C$15="","",+'fud-data'!$C$15))</f>
        <v>87654321</v>
      </c>
      <c r="Z23" s="168"/>
      <c r="AA23" s="168"/>
      <c r="AB23" s="168"/>
      <c r="AC23" s="168"/>
      <c r="AD23" s="168"/>
      <c r="AE23" s="168"/>
      <c r="AF23" s="168"/>
      <c r="AG23" s="168"/>
      <c r="AH23" s="168"/>
      <c r="AI23" s="168"/>
      <c r="AJ23" s="168"/>
      <c r="AK23" s="169"/>
      <c r="AL23" s="4"/>
      <c r="AM23" s="4"/>
      <c r="AN23" s="4"/>
      <c r="AO23" s="4"/>
      <c r="AP23" s="4"/>
      <c r="AQ23" s="164" t="s">
        <v>38</v>
      </c>
      <c r="AR23" s="165"/>
      <c r="AS23" s="165"/>
      <c r="AT23" s="165"/>
      <c r="AU23" s="165"/>
      <c r="AV23" s="165"/>
      <c r="AW23" s="165"/>
      <c r="AX23" s="166"/>
      <c r="AY23" s="161">
        <f>IF('fud-data'!$G$15="印字しない","",IF('fud-data'!$C$14="","",+'fud-data'!$C$14))</f>
        <v>54321</v>
      </c>
      <c r="AZ23" s="162"/>
      <c r="BA23" s="162"/>
      <c r="BB23" s="162"/>
      <c r="BC23" s="162"/>
      <c r="BD23" s="162"/>
      <c r="BE23" s="163"/>
      <c r="BF23" s="164" t="s">
        <v>37</v>
      </c>
      <c r="BG23" s="165"/>
      <c r="BH23" s="165"/>
      <c r="BI23" s="165"/>
      <c r="BJ23" s="165"/>
      <c r="BK23" s="165"/>
      <c r="BL23" s="165"/>
      <c r="BM23" s="166"/>
      <c r="BN23" s="167">
        <f>IF('fud-data'!$G$15="印字しない","",IF('fud-data'!$C$15="","",+'fud-data'!$C$15))</f>
        <v>87654321</v>
      </c>
      <c r="BO23" s="168"/>
      <c r="BP23" s="168"/>
      <c r="BQ23" s="168"/>
      <c r="BR23" s="168"/>
      <c r="BS23" s="168"/>
      <c r="BT23" s="168"/>
      <c r="BU23" s="168"/>
      <c r="BV23" s="168"/>
      <c r="BW23" s="168"/>
      <c r="BX23" s="168"/>
      <c r="BY23" s="168"/>
      <c r="BZ23" s="169"/>
    </row>
    <row r="24" spans="1:81">
      <c r="AJ24" s="170">
        <v>313</v>
      </c>
      <c r="AK24" s="170"/>
      <c r="AQ24" s="4"/>
      <c r="AR24" s="4"/>
      <c r="AS24" s="4"/>
      <c r="AT24" s="4"/>
      <c r="AU24" s="4"/>
      <c r="AV24" s="4"/>
      <c r="AW24" s="4"/>
      <c r="AX24" s="4"/>
      <c r="AY24" s="4"/>
      <c r="AZ24" s="4"/>
      <c r="BA24" s="4"/>
      <c r="BB24" s="4"/>
      <c r="BC24" s="4"/>
      <c r="BD24" s="4"/>
      <c r="BE24" s="4"/>
      <c r="BF24" s="4"/>
      <c r="BG24" s="4"/>
      <c r="BH24" s="4"/>
      <c r="BI24" s="4"/>
      <c r="BJ24" s="4"/>
      <c r="BK24" s="4"/>
      <c r="BL24" s="4"/>
      <c r="BM24" s="4"/>
      <c r="BY24" s="170">
        <f>+AJ24</f>
        <v>313</v>
      </c>
      <c r="BZ24" s="170"/>
    </row>
    <row r="28" spans="1:81" s="5" customFormat="1" ht="14.4">
      <c r="H28" s="6" t="s">
        <v>8</v>
      </c>
      <c r="I28" s="131">
        <f>+'fud-data'!$B$8</f>
        <v>28</v>
      </c>
      <c r="J28" s="131"/>
      <c r="K28" s="131"/>
      <c r="L28" s="5" t="s">
        <v>52</v>
      </c>
      <c r="AB28" s="34"/>
      <c r="AC28" s="34"/>
      <c r="AD28" s="34"/>
      <c r="AE28" s="34"/>
      <c r="AF28" s="34"/>
      <c r="AG28" s="34"/>
      <c r="AH28" s="34"/>
      <c r="AI28" s="34"/>
      <c r="AJ28" s="34"/>
      <c r="AK28" s="34"/>
      <c r="AL28" s="34"/>
      <c r="AM28" s="34"/>
      <c r="AN28" s="34"/>
      <c r="AO28" s="17"/>
      <c r="AP28" s="17"/>
      <c r="AW28" s="6" t="s">
        <v>8</v>
      </c>
      <c r="AX28" s="131">
        <f>+'fud-data'!$B$8</f>
        <v>28</v>
      </c>
      <c r="AY28" s="131"/>
      <c r="AZ28" s="131"/>
      <c r="BA28" s="5" t="s">
        <v>52</v>
      </c>
      <c r="BQ28" s="34"/>
      <c r="BR28" s="34"/>
      <c r="BS28" s="34"/>
      <c r="BT28" s="34"/>
      <c r="BU28" s="34"/>
      <c r="BV28" s="34"/>
      <c r="BW28" s="34"/>
      <c r="BX28" s="34"/>
      <c r="BY28" s="34"/>
      <c r="BZ28" s="34"/>
      <c r="CA28" s="34"/>
      <c r="CB28" s="34"/>
      <c r="CC28" s="34"/>
    </row>
    <row r="29" spans="1:81" ht="23.4" customHeight="1">
      <c r="A29" s="7"/>
      <c r="B29" s="122" t="s">
        <v>18</v>
      </c>
      <c r="C29" s="123"/>
      <c r="D29" s="124"/>
      <c r="E29" s="143" t="s">
        <v>12</v>
      </c>
      <c r="F29" s="144"/>
      <c r="G29" s="144"/>
      <c r="H29" s="144"/>
      <c r="I29" s="60"/>
      <c r="J29" s="61"/>
      <c r="K29" s="82" t="str">
        <f>VLOOKUP('fud-data'!$G$12+1,'fud-data'!$A$20:$K$39,4,1)&amp;""</f>
        <v>東京都△△区△△町4-5-6</v>
      </c>
      <c r="L29" s="61"/>
      <c r="M29" s="8"/>
      <c r="N29" s="8"/>
      <c r="O29" s="9"/>
      <c r="P29" s="9"/>
      <c r="Q29" s="9"/>
      <c r="R29" s="9"/>
      <c r="S29" s="9"/>
      <c r="T29" s="9"/>
      <c r="U29" s="9"/>
      <c r="V29" s="9"/>
      <c r="W29" s="9"/>
      <c r="X29" s="9"/>
      <c r="Y29" s="35"/>
      <c r="Z29" s="35"/>
      <c r="AA29" s="35"/>
      <c r="AB29" s="35"/>
      <c r="AC29" s="35"/>
      <c r="AD29" s="35"/>
      <c r="AE29" s="35"/>
      <c r="AF29" s="35"/>
      <c r="AG29" s="35"/>
      <c r="AH29" s="35"/>
      <c r="AI29" s="35"/>
      <c r="AJ29" s="35"/>
      <c r="AK29" s="36"/>
      <c r="AQ29" s="132" t="s">
        <v>18</v>
      </c>
      <c r="AR29" s="133"/>
      <c r="AS29" s="134"/>
      <c r="AT29" s="141" t="s">
        <v>12</v>
      </c>
      <c r="AU29" s="142"/>
      <c r="AV29" s="142"/>
      <c r="AW29" s="142"/>
      <c r="AX29" s="64"/>
      <c r="AY29" s="65"/>
      <c r="AZ29" s="84" t="str">
        <f>VLOOKUP('fud-data'!$G$12+3,'fud-data'!$A$20:$K$39,4,1)&amp;""</f>
        <v>東京都△△区△△町10-11-12</v>
      </c>
      <c r="BA29" s="65"/>
      <c r="BB29" s="8"/>
      <c r="BC29" s="37"/>
      <c r="BD29" s="35"/>
      <c r="BE29" s="35"/>
      <c r="BF29" s="35"/>
      <c r="BG29" s="35"/>
      <c r="BH29" s="35"/>
      <c r="BI29" s="35"/>
      <c r="BJ29" s="35"/>
      <c r="BK29" s="35"/>
      <c r="BL29" s="35"/>
      <c r="BM29" s="35"/>
      <c r="BN29" s="35"/>
      <c r="BO29" s="35"/>
      <c r="BP29" s="35"/>
      <c r="BQ29" s="35"/>
      <c r="BR29" s="35"/>
      <c r="BS29" s="35"/>
      <c r="BT29" s="35"/>
      <c r="BU29" s="35"/>
      <c r="BV29" s="35"/>
      <c r="BW29" s="35"/>
      <c r="BX29" s="35"/>
      <c r="BY29" s="35"/>
      <c r="BZ29" s="36"/>
    </row>
    <row r="30" spans="1:81" ht="12" customHeight="1">
      <c r="A30" s="10"/>
      <c r="B30" s="125"/>
      <c r="C30" s="126"/>
      <c r="D30" s="127"/>
      <c r="E30" s="122" t="s">
        <v>15</v>
      </c>
      <c r="F30" s="123"/>
      <c r="G30" s="123"/>
      <c r="H30" s="124"/>
      <c r="I30" s="21"/>
      <c r="J30" s="22"/>
      <c r="K30" s="22"/>
      <c r="L30" s="22"/>
      <c r="M30" s="15"/>
      <c r="N30" s="23"/>
      <c r="O30" s="14"/>
      <c r="P30" s="14"/>
      <c r="Q30" s="14"/>
      <c r="R30" s="14"/>
      <c r="S30" s="14"/>
      <c r="T30" s="14"/>
      <c r="U30" s="14"/>
      <c r="V30" s="14"/>
      <c r="W30" s="14"/>
      <c r="X30" s="16"/>
      <c r="Y30" s="171" t="s">
        <v>14</v>
      </c>
      <c r="Z30" s="171"/>
      <c r="AA30" s="171"/>
      <c r="AB30" s="171"/>
      <c r="AC30" s="171"/>
      <c r="AD30" s="171"/>
      <c r="AE30" s="171"/>
      <c r="AF30" s="171"/>
      <c r="AG30" s="171"/>
      <c r="AH30" s="171"/>
      <c r="AI30" s="171"/>
      <c r="AJ30" s="171"/>
      <c r="AK30" s="171"/>
      <c r="AQ30" s="135"/>
      <c r="AR30" s="136"/>
      <c r="AS30" s="137"/>
      <c r="AT30" s="132" t="s">
        <v>15</v>
      </c>
      <c r="AU30" s="133"/>
      <c r="AV30" s="133"/>
      <c r="AW30" s="134"/>
      <c r="AX30" s="38"/>
      <c r="AY30" s="39"/>
      <c r="AZ30" s="39"/>
      <c r="BA30" s="39"/>
      <c r="BB30" s="40"/>
      <c r="BC30" s="41"/>
      <c r="BD30" s="42"/>
      <c r="BE30" s="42"/>
      <c r="BF30" s="42"/>
      <c r="BG30" s="42"/>
      <c r="BH30" s="42"/>
      <c r="BI30" s="42"/>
      <c r="BJ30" s="42"/>
      <c r="BK30" s="42"/>
      <c r="BL30" s="42"/>
      <c r="BM30" s="43"/>
      <c r="BN30" s="171" t="s">
        <v>14</v>
      </c>
      <c r="BO30" s="171"/>
      <c r="BP30" s="171"/>
      <c r="BQ30" s="171"/>
      <c r="BR30" s="171"/>
      <c r="BS30" s="171"/>
      <c r="BT30" s="171"/>
      <c r="BU30" s="171"/>
      <c r="BV30" s="171"/>
      <c r="BW30" s="171"/>
      <c r="BX30" s="171"/>
      <c r="BY30" s="171"/>
      <c r="BZ30" s="171"/>
    </row>
    <row r="31" spans="1:81" ht="19.2">
      <c r="A31" s="11"/>
      <c r="B31" s="128"/>
      <c r="C31" s="129"/>
      <c r="D31" s="130"/>
      <c r="E31" s="128"/>
      <c r="F31" s="129"/>
      <c r="G31" s="129"/>
      <c r="H31" s="130"/>
      <c r="I31" s="19"/>
      <c r="J31" s="20"/>
      <c r="K31" s="83" t="str">
        <f>VLOOKUP('fud-data'!$G$12+1,'fud-data'!$A$20:$K$39,2,1)&amp;""</f>
        <v>不動産次郎</v>
      </c>
      <c r="L31" s="20"/>
      <c r="N31" s="20"/>
      <c r="O31" s="20"/>
      <c r="P31" s="20"/>
      <c r="Q31" s="20"/>
      <c r="R31" s="20"/>
      <c r="S31" s="20"/>
      <c r="T31" s="20"/>
      <c r="U31" s="20"/>
      <c r="V31" s="20"/>
      <c r="W31" s="20"/>
      <c r="Y31" s="51" t="str">
        <f>IF($AK$31="","",IF(VLOOKUP('fud-data'!$G$12+1,'fud-data'!$A$20:$K$39,3,1)="","",IF(VLOOKUP('fud-data'!$G$12+1,'fud-data'!$A$20:$K$39,3,1)&lt;1000000000000,"",LEFT((RIGHT(VLOOKUP('fud-data'!$G$12+1,'fud-data'!$A$20:$K$39,3,1)+10000000000000,13)),1))))</f>
        <v/>
      </c>
      <c r="Z31" s="44" t="str">
        <f>IF($AK$31="","",IF(VLOOKUP('fud-data'!$G$12+1,'fud-data'!$A$20:$K$39,3,1)="","",LEFT((RIGHT(VLOOKUP('fud-data'!$G$12+1,'fud-data'!$A$20:$K$39,3,1)+10000000000000,12)),1)))</f>
        <v>0</v>
      </c>
      <c r="AA31" s="46" t="str">
        <f>IF($AK$31="","",IF(VLOOKUP('fud-data'!$G$12+1,'fud-data'!$A$20:$K$39,3,1)="","",LEFT((RIGHT(VLOOKUP('fud-data'!$G$12+1,'fud-data'!$A$20:$K$39,3,1)+10000000000000,11)),1)))</f>
        <v>0</v>
      </c>
      <c r="AB31" s="46" t="str">
        <f>IF($AK$31="","",IF(VLOOKUP('fud-data'!$G$12+1,'fud-data'!$A$20:$K$39,3,1)="","",LEFT((RIGHT(VLOOKUP('fud-data'!$G$12+1,'fud-data'!$A$20:$K$39,3,1)+10000000000000,10)),1)))</f>
        <v>0</v>
      </c>
      <c r="AC31" s="48" t="str">
        <f>IF($AK$31="","",IF(VLOOKUP('fud-data'!$G$12+1,'fud-data'!$A$20:$K$39,3,1)="","",LEFT((RIGHT(VLOOKUP('fud-data'!$G$12+1,'fud-data'!$A$20:$K$39,3,1)+10000000000000,9)),1)))</f>
        <v>0</v>
      </c>
      <c r="AD31" s="44" t="str">
        <f>IF($AK$31="","",IF(VLOOKUP('fud-data'!$G$12+1,'fud-data'!$A$20:$K$39,3,1)="","",LEFT((RIGHT(VLOOKUP('fud-data'!$G$12+1,'fud-data'!$A$20:$K$39,3,1)+10000000000000,8)),1)))</f>
        <v>0</v>
      </c>
      <c r="AE31" s="46" t="str">
        <f>IF($AK$31="","",IF(VLOOKUP('fud-data'!$G$12+1,'fud-data'!$A$20:$K$39,3,1)="","",LEFT((RIGHT(VLOOKUP('fud-data'!$G$12+1,'fud-data'!$A$20:$K$39,3,1)+10000000000000,7)),1)))</f>
        <v>0</v>
      </c>
      <c r="AF31" s="46" t="str">
        <f>IF($AK$31="","",IF(VLOOKUP('fud-data'!$G$12+1,'fud-data'!$A$20:$K$39,3,1)="","",LEFT((RIGHT(VLOOKUP('fud-data'!$G$12+1,'fud-data'!$A$20:$K$39,3,1)+10000000000000,6)),1)))</f>
        <v>0</v>
      </c>
      <c r="AG31" s="48" t="str">
        <f>IF($AK$31="","",IF(VLOOKUP('fud-data'!$G$12+1,'fud-data'!$A$20:$K$39,3,1)="","",LEFT((RIGHT(VLOOKUP('fud-data'!$G$12+1,'fud-data'!$A$20:$K$39,3,1)+10000000000000,5)),1)))</f>
        <v>0</v>
      </c>
      <c r="AH31" s="44" t="str">
        <f>IF($AK$31="","",IF(VLOOKUP('fud-data'!$G$12+1,'fud-data'!$A$20:$K$39,3,1)="","",LEFT((RIGHT(VLOOKUP('fud-data'!$G$12+1,'fud-data'!$A$20:$K$39,3,1)+10000000000000,4)),1)))</f>
        <v>0</v>
      </c>
      <c r="AI31" s="46" t="str">
        <f>IF($AK$31="","",IF(VLOOKUP('fud-data'!$G$12+1,'fud-data'!$A$20:$K$39,3,1)="","",LEFT((RIGHT(VLOOKUP('fud-data'!$G$12+1,'fud-data'!$A$20:$K$39,3,1)+10000000000000,3)),1)))</f>
        <v>2</v>
      </c>
      <c r="AJ31" s="46" t="str">
        <f>IF($AK$31="","",IF(VLOOKUP('fud-data'!$G$12+1,'fud-data'!$A$20:$K$39,3,1)="","",LEFT((RIGHT(VLOOKUP('fud-data'!$G$12+1,'fud-data'!$A$20:$K$39,3,1)+10000000000000,2)),1)))</f>
        <v>0</v>
      </c>
      <c r="AK31" s="48" t="str">
        <f>IF('fud-data'!$G$15="印字しない","",IF(VLOOKUP('fud-data'!$G$12+1,'fud-data'!$A$20:$K$39,3,1)="","",LEFT((RIGHT(VLOOKUP('fud-data'!$G$12+1,'fud-data'!$A$20:$K$39,3,1)+10000000000000,1)),1)))</f>
        <v>0</v>
      </c>
      <c r="AQ31" s="138"/>
      <c r="AR31" s="139"/>
      <c r="AS31" s="140"/>
      <c r="AT31" s="138"/>
      <c r="AU31" s="139"/>
      <c r="AV31" s="139"/>
      <c r="AW31" s="140"/>
      <c r="AX31" s="49"/>
      <c r="AY31" s="50"/>
      <c r="AZ31" s="85" t="str">
        <f>VLOOKUP('fud-data'!$G$12+3,'fud-data'!$A$20:$K$39,2,1)&amp;""</f>
        <v>不動産四郎</v>
      </c>
      <c r="BA31" s="50"/>
      <c r="BC31" s="50"/>
      <c r="BD31" s="50"/>
      <c r="BE31" s="50"/>
      <c r="BF31" s="50"/>
      <c r="BG31" s="50"/>
      <c r="BH31" s="50"/>
      <c r="BI31" s="50"/>
      <c r="BJ31" s="50"/>
      <c r="BK31" s="50"/>
      <c r="BL31" s="50"/>
      <c r="BN31" s="51" t="str">
        <f>IF($BZ$31="","",IF(VLOOKUP('fud-data'!$G$12+3,'fud-data'!$A$20:$K$39,3,1)="","",IF(VLOOKUP('fud-data'!$G$12+3,'fud-data'!$A$20:$K$39,3,1)&lt;1000000000000,"",LEFT((RIGHT(VLOOKUP('fud-data'!$G$12+3,'fud-data'!$A$20:$K$39,3,1)+10000000000000,13)),1))))</f>
        <v/>
      </c>
      <c r="BO31" s="44" t="str">
        <f>IF($BZ$31="","",IF(VLOOKUP('fud-data'!$G$12+3,'fud-data'!$A$20:$K$39,3,1)="","",LEFT((RIGHT(VLOOKUP('fud-data'!$G$12+3,'fud-data'!$A$20:$K$39,3,1)+10000000000000,12)),1)))</f>
        <v>0</v>
      </c>
      <c r="BP31" s="46" t="str">
        <f>IF($BZ$31="","",IF(VLOOKUP('fud-data'!$G$12+3,'fud-data'!$A$20:$K$39,3,1)="","",LEFT((RIGHT(VLOOKUP('fud-data'!$G$12+3,'fud-data'!$A$20:$K$39,3,1)+10000000000000,11)),1)))</f>
        <v>0</v>
      </c>
      <c r="BQ31" s="46" t="str">
        <f>IF($BZ$31="","",IF(VLOOKUP('fud-data'!$G$12+3,'fud-data'!$A$20:$K$39,3,1)="","",LEFT((RIGHT(VLOOKUP('fud-data'!$G$12+3,'fud-data'!$A$20:$K$39,3,1)+10000000000000,10)),1)))</f>
        <v>0</v>
      </c>
      <c r="BR31" s="48" t="str">
        <f>IF($BZ$31="","",IF(VLOOKUP('fud-data'!$G$12+3,'fud-data'!$A$20:$K$39,3,1)="","",LEFT((RIGHT(VLOOKUP('fud-data'!$G$12+3,'fud-data'!$A$20:$K$39,3,1)+10000000000000,9)),1)))</f>
        <v>0</v>
      </c>
      <c r="BS31" s="44" t="str">
        <f>IF($BZ$31="","",IF(VLOOKUP('fud-data'!$G$12+3,'fud-data'!$A$20:$K$39,3,1)="","",LEFT((RIGHT(VLOOKUP('fud-data'!$G$12+3,'fud-data'!$A$20:$K$39,3,1)+10000000000000,8)),1)))</f>
        <v>0</v>
      </c>
      <c r="BT31" s="46" t="str">
        <f>IF($BZ$31="","",IF(VLOOKUP('fud-data'!$G$12+3,'fud-data'!$A$20:$K$39,3,1)="","",LEFT((RIGHT(VLOOKUP('fud-data'!$G$12+3,'fud-data'!$A$20:$K$39,3,1)+10000000000000,7)),1)))</f>
        <v>0</v>
      </c>
      <c r="BU31" s="46" t="str">
        <f>IF($BZ$31="","",IF(VLOOKUP('fud-data'!$G$12+3,'fud-data'!$A$20:$K$39,3,1)="","",LEFT((RIGHT(VLOOKUP('fud-data'!$G$12+3,'fud-data'!$A$20:$K$39,3,1)+10000000000000,6)),1)))</f>
        <v>0</v>
      </c>
      <c r="BV31" s="48" t="str">
        <f>IF($BZ$31="","",IF(VLOOKUP('fud-data'!$G$12+3,'fud-data'!$A$20:$K$39,3,1)="","",LEFT((RIGHT(VLOOKUP('fud-data'!$G$12+3,'fud-data'!$A$20:$K$39,3,1)+10000000000000,5)),1)))</f>
        <v>0</v>
      </c>
      <c r="BW31" s="44" t="str">
        <f>IF($BZ$31="","",IF(VLOOKUP('fud-data'!$G$12+3,'fud-data'!$A$20:$K$39,3,1)="","",LEFT((RIGHT(VLOOKUP('fud-data'!$G$12+3,'fud-data'!$A$20:$K$39,3,1)+10000000000000,4)),1)))</f>
        <v>0</v>
      </c>
      <c r="BX31" s="46" t="str">
        <f>IF($BZ$31="","",IF(VLOOKUP('fud-data'!$G$12+3,'fud-data'!$A$20:$K$39,3,1)="","",LEFT((RIGHT(VLOOKUP('fud-data'!$G$12+3,'fud-data'!$A$20:$K$39,3,1)+10000000000000,3)),1)))</f>
        <v>4</v>
      </c>
      <c r="BY31" s="46" t="str">
        <f>IF($BZ$31="","",IF(VLOOKUP('fud-data'!$G$12+3,'fud-data'!$A$20:$K$39,3,1)="","",LEFT((RIGHT(VLOOKUP('fud-data'!$G$12+3,'fud-data'!$A$20:$K$39,3,1)+10000000000000,2)),1)))</f>
        <v>0</v>
      </c>
      <c r="BZ31" s="48" t="str">
        <f>IF('fud-data'!$G$15="印字しない","",IF(VLOOKUP('fud-data'!$G$12+3,'fud-data'!$A$20:$K$39,3,1)="","",LEFT((RIGHT(VLOOKUP('fud-data'!$G$12+3,'fud-data'!$A$20:$K$39,3,1)+10000000000000,1)),1)))</f>
        <v>0</v>
      </c>
    </row>
    <row r="32" spans="1:81" s="10" customFormat="1" ht="13.2" customHeight="1">
      <c r="A32" s="18"/>
      <c r="B32" s="192" t="s">
        <v>19</v>
      </c>
      <c r="C32" s="193"/>
      <c r="D32" s="194"/>
      <c r="E32" s="223" t="s">
        <v>53</v>
      </c>
      <c r="F32" s="223"/>
      <c r="G32" s="223"/>
      <c r="H32" s="223"/>
      <c r="I32" s="223"/>
      <c r="J32" s="223"/>
      <c r="K32" s="223"/>
      <c r="L32" s="223"/>
      <c r="M32" s="223"/>
      <c r="N32" s="192"/>
      <c r="O32" s="255" t="s">
        <v>20</v>
      </c>
      <c r="P32" s="256"/>
      <c r="Q32" s="256"/>
      <c r="R32" s="257"/>
      <c r="S32" s="192" t="s">
        <v>57</v>
      </c>
      <c r="T32" s="193"/>
      <c r="U32" s="193"/>
      <c r="V32" s="193"/>
      <c r="W32" s="193"/>
      <c r="X32" s="193"/>
      <c r="Y32" s="193"/>
      <c r="Z32" s="193"/>
      <c r="AA32" s="193"/>
      <c r="AB32" s="194"/>
      <c r="AC32" s="179" t="s">
        <v>21</v>
      </c>
      <c r="AD32" s="179"/>
      <c r="AE32" s="179"/>
      <c r="AF32" s="179"/>
      <c r="AG32" s="179"/>
      <c r="AH32" s="179"/>
      <c r="AI32" s="179"/>
      <c r="AJ32" s="179"/>
      <c r="AK32" s="180"/>
      <c r="AL32" s="17"/>
      <c r="AM32" s="17"/>
      <c r="AN32" s="17"/>
      <c r="AO32" s="17"/>
      <c r="AP32" s="17"/>
      <c r="AQ32" s="192" t="s">
        <v>19</v>
      </c>
      <c r="AR32" s="193"/>
      <c r="AS32" s="194"/>
      <c r="AT32" s="223" t="s">
        <v>53</v>
      </c>
      <c r="AU32" s="223"/>
      <c r="AV32" s="223"/>
      <c r="AW32" s="223"/>
      <c r="AX32" s="223"/>
      <c r="AY32" s="223"/>
      <c r="AZ32" s="223"/>
      <c r="BA32" s="223"/>
      <c r="BB32" s="223"/>
      <c r="BC32" s="192"/>
      <c r="BD32" s="255" t="s">
        <v>20</v>
      </c>
      <c r="BE32" s="256"/>
      <c r="BF32" s="256"/>
      <c r="BG32" s="257"/>
      <c r="BH32" s="192" t="s">
        <v>57</v>
      </c>
      <c r="BI32" s="193"/>
      <c r="BJ32" s="193"/>
      <c r="BK32" s="193"/>
      <c r="BL32" s="193"/>
      <c r="BM32" s="193"/>
      <c r="BN32" s="193"/>
      <c r="BO32" s="193"/>
      <c r="BP32" s="193"/>
      <c r="BQ32" s="194"/>
      <c r="BR32" s="179" t="s">
        <v>21</v>
      </c>
      <c r="BS32" s="179"/>
      <c r="BT32" s="179"/>
      <c r="BU32" s="179"/>
      <c r="BV32" s="179"/>
      <c r="BW32" s="179"/>
      <c r="BX32" s="179"/>
      <c r="BY32" s="179"/>
      <c r="BZ32" s="180"/>
    </row>
    <row r="33" spans="1:78" ht="19.2">
      <c r="A33" s="11"/>
      <c r="B33" s="239" t="str">
        <f>VLOOKUP('fud-data'!$G$12+1,'fud-data'!$A$20:$K$39,5,1)&amp;""</f>
        <v>家賃</v>
      </c>
      <c r="C33" s="239"/>
      <c r="D33" s="239"/>
      <c r="E33" s="240" t="str">
        <f>VLOOKUP('fud-data'!$G$12+1,'fud-data'!$A$20:$K$39,6,1)&amp;""</f>
        <v>△△区△△町4-5-6</v>
      </c>
      <c r="F33" s="240"/>
      <c r="G33" s="240"/>
      <c r="H33" s="240"/>
      <c r="I33" s="240"/>
      <c r="J33" s="240"/>
      <c r="K33" s="240"/>
      <c r="L33" s="240"/>
      <c r="M33" s="240"/>
      <c r="N33" s="240"/>
      <c r="O33" s="241" t="str">
        <f>VLOOKUP('fud-data'!$G$12+1,'fud-data'!$A$20:$K$39,7,1)&amp;""</f>
        <v>2F</v>
      </c>
      <c r="P33" s="241"/>
      <c r="Q33" s="241"/>
      <c r="R33" s="241"/>
      <c r="S33" s="241" t="str">
        <f>+VLOOKUP('fud-data'!$G$12+1,'fud-data'!$A$20:$K$39,8,1)&amp;""</f>
        <v>200,000×12</v>
      </c>
      <c r="T33" s="241"/>
      <c r="U33" s="241"/>
      <c r="V33" s="241"/>
      <c r="W33" s="241"/>
      <c r="X33" s="241"/>
      <c r="Y33" s="241"/>
      <c r="Z33" s="241"/>
      <c r="AA33" s="241"/>
      <c r="AB33" s="241"/>
      <c r="AC33" s="264">
        <f>IF(VLOOKUP('fud-data'!$G$12+1,'fud-data'!$A$20:$K$39,9,1)=0,"",VLOOKUP('fud-data'!$G$12+1,'fud-data'!$A$20:$K$39,9,1))</f>
        <v>2400000</v>
      </c>
      <c r="AD33" s="264"/>
      <c r="AE33" s="264"/>
      <c r="AF33" s="264"/>
      <c r="AG33" s="264"/>
      <c r="AH33" s="264"/>
      <c r="AI33" s="264"/>
      <c r="AJ33" s="264"/>
      <c r="AK33" s="264"/>
      <c r="AL33" s="33"/>
      <c r="AM33" s="33"/>
      <c r="AN33" s="33"/>
      <c r="AO33" s="33"/>
      <c r="AP33" s="33"/>
      <c r="AQ33" s="239" t="str">
        <f>VLOOKUP('fud-data'!$G$12+3,'fud-data'!$A$20:$K$39,5,1)&amp;""</f>
        <v>更新料</v>
      </c>
      <c r="AR33" s="239"/>
      <c r="AS33" s="239"/>
      <c r="AT33" s="240" t="str">
        <f>VLOOKUP('fud-data'!$G$12+3,'fud-data'!$A$20:$K$39,6,1)&amp;""</f>
        <v>△△区△△町10-11-12</v>
      </c>
      <c r="AU33" s="240"/>
      <c r="AV33" s="240"/>
      <c r="AW33" s="240"/>
      <c r="AX33" s="240"/>
      <c r="AY33" s="240"/>
      <c r="AZ33" s="240"/>
      <c r="BA33" s="240"/>
      <c r="BB33" s="240"/>
      <c r="BC33" s="240"/>
      <c r="BD33" s="241" t="str">
        <f>VLOOKUP('fud-data'!$G$12+3,'fud-data'!$A$20:$K$39,7,1)&amp;""</f>
        <v>4F</v>
      </c>
      <c r="BE33" s="241"/>
      <c r="BF33" s="241"/>
      <c r="BG33" s="241"/>
      <c r="BH33" s="241" t="str">
        <f>+VLOOKUP('fud-data'!$G$12+3,'fud-data'!$A$20:$K$39,8,1)&amp;""</f>
        <v>400,000×12</v>
      </c>
      <c r="BI33" s="241"/>
      <c r="BJ33" s="241"/>
      <c r="BK33" s="241"/>
      <c r="BL33" s="241"/>
      <c r="BM33" s="241"/>
      <c r="BN33" s="241"/>
      <c r="BO33" s="241"/>
      <c r="BP33" s="241"/>
      <c r="BQ33" s="241"/>
      <c r="BR33" s="264">
        <f>IF(VLOOKUP('fud-data'!$G$12+3,'fud-data'!$A$20:$K$39,9,1)=0,"",VLOOKUP('fud-data'!$G$12+3,'fud-data'!$A$20:$K$39,9,1))</f>
        <v>4800000</v>
      </c>
      <c r="BS33" s="264"/>
      <c r="BT33" s="264"/>
      <c r="BU33" s="264"/>
      <c r="BV33" s="264"/>
      <c r="BW33" s="264"/>
      <c r="BX33" s="264"/>
      <c r="BY33" s="264"/>
      <c r="BZ33" s="264"/>
    </row>
    <row r="34" spans="1:78" ht="19.2">
      <c r="A34" s="11"/>
      <c r="B34" s="242"/>
      <c r="C34" s="242"/>
      <c r="D34" s="242"/>
      <c r="E34" s="243"/>
      <c r="F34" s="243"/>
      <c r="G34" s="243"/>
      <c r="H34" s="243"/>
      <c r="I34" s="243"/>
      <c r="J34" s="243"/>
      <c r="K34" s="243"/>
      <c r="L34" s="243"/>
      <c r="M34" s="243"/>
      <c r="N34" s="243"/>
      <c r="O34" s="244"/>
      <c r="P34" s="244"/>
      <c r="Q34" s="244"/>
      <c r="R34" s="244"/>
      <c r="S34" s="244"/>
      <c r="T34" s="244"/>
      <c r="U34" s="244"/>
      <c r="V34" s="244"/>
      <c r="W34" s="244"/>
      <c r="X34" s="244"/>
      <c r="Y34" s="244"/>
      <c r="Z34" s="244"/>
      <c r="AA34" s="244"/>
      <c r="AB34" s="244"/>
      <c r="AC34" s="191"/>
      <c r="AD34" s="191"/>
      <c r="AE34" s="191"/>
      <c r="AF34" s="191"/>
      <c r="AG34" s="191"/>
      <c r="AH34" s="191"/>
      <c r="AI34" s="191"/>
      <c r="AJ34" s="191"/>
      <c r="AK34" s="191"/>
      <c r="AQ34" s="242"/>
      <c r="AR34" s="242"/>
      <c r="AS34" s="242"/>
      <c r="AT34" s="243"/>
      <c r="AU34" s="243"/>
      <c r="AV34" s="243"/>
      <c r="AW34" s="243"/>
      <c r="AX34" s="243"/>
      <c r="AY34" s="243"/>
      <c r="AZ34" s="243"/>
      <c r="BA34" s="243"/>
      <c r="BB34" s="243"/>
      <c r="BC34" s="243"/>
      <c r="BD34" s="244"/>
      <c r="BE34" s="244"/>
      <c r="BF34" s="244"/>
      <c r="BG34" s="244"/>
      <c r="BH34" s="244"/>
      <c r="BI34" s="244"/>
      <c r="BJ34" s="244"/>
      <c r="BK34" s="244"/>
      <c r="BL34" s="244"/>
      <c r="BM34" s="244"/>
      <c r="BN34" s="244"/>
      <c r="BO34" s="244"/>
      <c r="BP34" s="244"/>
      <c r="BQ34" s="244"/>
      <c r="BR34" s="191"/>
      <c r="BS34" s="191"/>
      <c r="BT34" s="191"/>
      <c r="BU34" s="191"/>
      <c r="BV34" s="191"/>
      <c r="BW34" s="191"/>
      <c r="BX34" s="191"/>
      <c r="BY34" s="191"/>
      <c r="BZ34" s="191"/>
    </row>
    <row r="35" spans="1:78" ht="19.2">
      <c r="A35" s="11"/>
      <c r="B35" s="242"/>
      <c r="C35" s="242"/>
      <c r="D35" s="242"/>
      <c r="E35" s="243"/>
      <c r="F35" s="243"/>
      <c r="G35" s="243"/>
      <c r="H35" s="243"/>
      <c r="I35" s="243"/>
      <c r="J35" s="243"/>
      <c r="K35" s="243"/>
      <c r="L35" s="243"/>
      <c r="M35" s="243"/>
      <c r="N35" s="243"/>
      <c r="O35" s="244"/>
      <c r="P35" s="244"/>
      <c r="Q35" s="244"/>
      <c r="R35" s="244"/>
      <c r="S35" s="244"/>
      <c r="T35" s="244"/>
      <c r="U35" s="244"/>
      <c r="V35" s="244"/>
      <c r="W35" s="244"/>
      <c r="X35" s="244"/>
      <c r="Y35" s="244"/>
      <c r="Z35" s="244"/>
      <c r="AA35" s="244"/>
      <c r="AB35" s="244"/>
      <c r="AC35" s="191"/>
      <c r="AD35" s="191"/>
      <c r="AE35" s="191"/>
      <c r="AF35" s="191"/>
      <c r="AG35" s="191"/>
      <c r="AH35" s="191"/>
      <c r="AI35" s="191"/>
      <c r="AJ35" s="191"/>
      <c r="AK35" s="191"/>
      <c r="AQ35" s="242"/>
      <c r="AR35" s="242"/>
      <c r="AS35" s="242"/>
      <c r="AT35" s="243"/>
      <c r="AU35" s="243"/>
      <c r="AV35" s="243"/>
      <c r="AW35" s="243"/>
      <c r="AX35" s="243"/>
      <c r="AY35" s="243"/>
      <c r="AZ35" s="243"/>
      <c r="BA35" s="243"/>
      <c r="BB35" s="243"/>
      <c r="BC35" s="243"/>
      <c r="BD35" s="244"/>
      <c r="BE35" s="244"/>
      <c r="BF35" s="244"/>
      <c r="BG35" s="244"/>
      <c r="BH35" s="244"/>
      <c r="BI35" s="244"/>
      <c r="BJ35" s="244"/>
      <c r="BK35" s="244"/>
      <c r="BL35" s="244"/>
      <c r="BM35" s="244"/>
      <c r="BN35" s="244"/>
      <c r="BO35" s="244"/>
      <c r="BP35" s="244"/>
      <c r="BQ35" s="244"/>
      <c r="BR35" s="191"/>
      <c r="BS35" s="191"/>
      <c r="BT35" s="191"/>
      <c r="BU35" s="191"/>
      <c r="BV35" s="191"/>
      <c r="BW35" s="191"/>
      <c r="BX35" s="191"/>
      <c r="BY35" s="191"/>
      <c r="BZ35" s="191"/>
    </row>
    <row r="36" spans="1:78" ht="19.2">
      <c r="A36" s="11"/>
      <c r="B36" s="242"/>
      <c r="C36" s="242"/>
      <c r="D36" s="242"/>
      <c r="E36" s="243"/>
      <c r="F36" s="243"/>
      <c r="G36" s="243"/>
      <c r="H36" s="243"/>
      <c r="I36" s="243"/>
      <c r="J36" s="243"/>
      <c r="K36" s="243"/>
      <c r="L36" s="243"/>
      <c r="M36" s="243"/>
      <c r="N36" s="243"/>
      <c r="O36" s="244"/>
      <c r="P36" s="244"/>
      <c r="Q36" s="244"/>
      <c r="R36" s="244"/>
      <c r="S36" s="244"/>
      <c r="T36" s="244"/>
      <c r="U36" s="244"/>
      <c r="V36" s="244"/>
      <c r="W36" s="244"/>
      <c r="X36" s="244"/>
      <c r="Y36" s="244"/>
      <c r="Z36" s="244"/>
      <c r="AA36" s="244"/>
      <c r="AB36" s="244"/>
      <c r="AC36" s="191"/>
      <c r="AD36" s="191"/>
      <c r="AE36" s="191"/>
      <c r="AF36" s="191"/>
      <c r="AG36" s="191"/>
      <c r="AH36" s="191"/>
      <c r="AI36" s="191"/>
      <c r="AJ36" s="191"/>
      <c r="AK36" s="191"/>
      <c r="AQ36" s="242"/>
      <c r="AR36" s="242"/>
      <c r="AS36" s="242"/>
      <c r="AT36" s="243"/>
      <c r="AU36" s="243"/>
      <c r="AV36" s="243"/>
      <c r="AW36" s="243"/>
      <c r="AX36" s="243"/>
      <c r="AY36" s="243"/>
      <c r="AZ36" s="243"/>
      <c r="BA36" s="243"/>
      <c r="BB36" s="243"/>
      <c r="BC36" s="243"/>
      <c r="BD36" s="244"/>
      <c r="BE36" s="244"/>
      <c r="BF36" s="244"/>
      <c r="BG36" s="244"/>
      <c r="BH36" s="244"/>
      <c r="BI36" s="244"/>
      <c r="BJ36" s="244"/>
      <c r="BK36" s="244"/>
      <c r="BL36" s="244"/>
      <c r="BM36" s="244"/>
      <c r="BN36" s="244"/>
      <c r="BO36" s="244"/>
      <c r="BP36" s="244"/>
      <c r="BQ36" s="244"/>
      <c r="BR36" s="191"/>
      <c r="BS36" s="191"/>
      <c r="BT36" s="191"/>
      <c r="BU36" s="191"/>
      <c r="BV36" s="191"/>
      <c r="BW36" s="191"/>
      <c r="BX36" s="191"/>
      <c r="BY36" s="191"/>
      <c r="BZ36" s="191"/>
    </row>
    <row r="37" spans="1:78" ht="19.2">
      <c r="A37" s="11"/>
      <c r="B37" s="242"/>
      <c r="C37" s="242"/>
      <c r="D37" s="242"/>
      <c r="E37" s="243"/>
      <c r="F37" s="243"/>
      <c r="G37" s="243"/>
      <c r="H37" s="243"/>
      <c r="I37" s="243"/>
      <c r="J37" s="243"/>
      <c r="K37" s="243"/>
      <c r="L37" s="243"/>
      <c r="M37" s="243"/>
      <c r="N37" s="243"/>
      <c r="O37" s="244"/>
      <c r="P37" s="244"/>
      <c r="Q37" s="244"/>
      <c r="R37" s="244"/>
      <c r="S37" s="244"/>
      <c r="T37" s="244"/>
      <c r="U37" s="244"/>
      <c r="V37" s="244"/>
      <c r="W37" s="244"/>
      <c r="X37" s="244"/>
      <c r="Y37" s="244"/>
      <c r="Z37" s="244"/>
      <c r="AA37" s="244"/>
      <c r="AB37" s="244"/>
      <c r="AC37" s="191"/>
      <c r="AD37" s="191"/>
      <c r="AE37" s="191"/>
      <c r="AF37" s="191"/>
      <c r="AG37" s="191"/>
      <c r="AH37" s="191"/>
      <c r="AI37" s="191"/>
      <c r="AJ37" s="191"/>
      <c r="AK37" s="191"/>
      <c r="AQ37" s="242"/>
      <c r="AR37" s="242"/>
      <c r="AS37" s="242"/>
      <c r="AT37" s="243"/>
      <c r="AU37" s="243"/>
      <c r="AV37" s="243"/>
      <c r="AW37" s="243"/>
      <c r="AX37" s="243"/>
      <c r="AY37" s="243"/>
      <c r="AZ37" s="243"/>
      <c r="BA37" s="243"/>
      <c r="BB37" s="243"/>
      <c r="BC37" s="243"/>
      <c r="BD37" s="244"/>
      <c r="BE37" s="244"/>
      <c r="BF37" s="244"/>
      <c r="BG37" s="244"/>
      <c r="BH37" s="244"/>
      <c r="BI37" s="244"/>
      <c r="BJ37" s="244"/>
      <c r="BK37" s="244"/>
      <c r="BL37" s="244"/>
      <c r="BM37" s="244"/>
      <c r="BN37" s="244"/>
      <c r="BO37" s="244"/>
      <c r="BP37" s="244"/>
      <c r="BQ37" s="244"/>
      <c r="BR37" s="191"/>
      <c r="BS37" s="191"/>
      <c r="BT37" s="191"/>
      <c r="BU37" s="191"/>
      <c r="BV37" s="191"/>
      <c r="BW37" s="191"/>
      <c r="BX37" s="191"/>
      <c r="BY37" s="191"/>
      <c r="BZ37" s="191"/>
    </row>
    <row r="38" spans="1:78" ht="16.2" customHeight="1">
      <c r="A38" s="105"/>
      <c r="B38" s="145" t="s">
        <v>0</v>
      </c>
      <c r="C38" s="146"/>
      <c r="D38" s="146"/>
      <c r="E38" s="153" t="str">
        <f>VLOOKUP('fud-data'!$G$12+1,'fud-data'!$A$20:$K$39,11,1)&amp;""</f>
        <v>摘要2</v>
      </c>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4"/>
      <c r="AQ38" s="145" t="s">
        <v>0</v>
      </c>
      <c r="AR38" s="146"/>
      <c r="AS38" s="146"/>
      <c r="AT38" s="153" t="str">
        <f>VLOOKUP('fud-data'!$G$12+3,'fud-data'!$A$20:$K$39,11,1)&amp;""</f>
        <v>摘要4</v>
      </c>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4"/>
    </row>
    <row r="39" spans="1:78" ht="19.2">
      <c r="A39" s="11"/>
      <c r="B39" s="114" t="str">
        <f>IF(VLOOKUP('fud-data'!$G$12,'fud-data'!$A$20:$K$39,10,1)=0,"",VLOOKUP('fud-data'!$G$12,'fud-data'!$A$20:$K$39,10,1))</f>
        <v/>
      </c>
      <c r="C39" s="265" t="s">
        <v>59</v>
      </c>
      <c r="D39" s="268" t="s">
        <v>58</v>
      </c>
      <c r="E39" s="207" t="s">
        <v>64</v>
      </c>
      <c r="F39" s="238"/>
      <c r="G39" s="238"/>
      <c r="H39" s="238"/>
      <c r="I39" s="258"/>
      <c r="J39" s="259"/>
      <c r="K39" s="259"/>
      <c r="L39" s="259"/>
      <c r="M39" s="259"/>
      <c r="N39" s="259"/>
      <c r="O39" s="259"/>
      <c r="P39" s="259"/>
      <c r="Q39" s="259"/>
      <c r="R39" s="259"/>
      <c r="S39" s="259"/>
      <c r="T39" s="259"/>
      <c r="U39" s="259"/>
      <c r="V39" s="259"/>
      <c r="W39" s="259"/>
      <c r="X39" s="260"/>
      <c r="Y39" s="263" t="s">
        <v>62</v>
      </c>
      <c r="Z39" s="263"/>
      <c r="AA39" s="263"/>
      <c r="AB39" s="263"/>
      <c r="AC39" s="261" t="s">
        <v>61</v>
      </c>
      <c r="AD39" s="261"/>
      <c r="AE39" s="261"/>
      <c r="AF39" s="261"/>
      <c r="AG39" s="261"/>
      <c r="AH39" s="261"/>
      <c r="AI39" s="261"/>
      <c r="AJ39" s="261"/>
      <c r="AK39" s="262"/>
      <c r="AQ39" s="114" t="str">
        <f>IF(VLOOKUP('fud-data'!$G$12,'fud-data'!$A$20:$K$39,10,1)=0,"",VLOOKUP('fud-data'!$G$12,'fud-data'!$A$20:$K$39,10,1))</f>
        <v/>
      </c>
      <c r="AR39" s="265" t="s">
        <v>59</v>
      </c>
      <c r="AS39" s="268" t="s">
        <v>58</v>
      </c>
      <c r="AT39" s="207" t="s">
        <v>64</v>
      </c>
      <c r="AU39" s="238"/>
      <c r="AV39" s="238"/>
      <c r="AW39" s="238"/>
      <c r="AX39" s="258"/>
      <c r="AY39" s="259"/>
      <c r="AZ39" s="259"/>
      <c r="BA39" s="259"/>
      <c r="BB39" s="259"/>
      <c r="BC39" s="259"/>
      <c r="BD39" s="259"/>
      <c r="BE39" s="259"/>
      <c r="BF39" s="259"/>
      <c r="BG39" s="259"/>
      <c r="BH39" s="259"/>
      <c r="BI39" s="259"/>
      <c r="BJ39" s="259"/>
      <c r="BK39" s="259"/>
      <c r="BL39" s="259"/>
      <c r="BM39" s="260"/>
      <c r="BN39" s="263" t="s">
        <v>62</v>
      </c>
      <c r="BO39" s="263"/>
      <c r="BP39" s="263"/>
      <c r="BQ39" s="263"/>
      <c r="BR39" s="261" t="s">
        <v>61</v>
      </c>
      <c r="BS39" s="261"/>
      <c r="BT39" s="261"/>
      <c r="BU39" s="261"/>
      <c r="BV39" s="261"/>
      <c r="BW39" s="261"/>
      <c r="BX39" s="261"/>
      <c r="BY39" s="261"/>
      <c r="BZ39" s="262"/>
    </row>
    <row r="40" spans="1:78" ht="19.2">
      <c r="A40" s="11"/>
      <c r="B40" s="103"/>
      <c r="C40" s="266"/>
      <c r="D40" s="269"/>
      <c r="E40" s="207" t="s">
        <v>63</v>
      </c>
      <c r="F40" s="238"/>
      <c r="G40" s="238"/>
      <c r="H40" s="238"/>
      <c r="I40" s="227"/>
      <c r="J40" s="228"/>
      <c r="K40" s="228"/>
      <c r="L40" s="228"/>
      <c r="M40" s="228"/>
      <c r="N40" s="228"/>
      <c r="O40" s="228"/>
      <c r="P40" s="228"/>
      <c r="Q40" s="228"/>
      <c r="R40" s="228"/>
      <c r="S40" s="228"/>
      <c r="T40" s="228"/>
      <c r="U40" s="228"/>
      <c r="V40" s="228"/>
      <c r="W40" s="228"/>
      <c r="X40" s="229"/>
      <c r="Y40" s="233"/>
      <c r="Z40" s="233"/>
      <c r="AA40" s="233"/>
      <c r="AB40" s="233"/>
      <c r="AC40" s="234"/>
      <c r="AD40" s="234"/>
      <c r="AE40" s="234"/>
      <c r="AF40" s="234"/>
      <c r="AG40" s="234"/>
      <c r="AH40" s="234"/>
      <c r="AI40" s="234"/>
      <c r="AJ40" s="234"/>
      <c r="AK40" s="235"/>
      <c r="AQ40" s="103"/>
      <c r="AR40" s="266"/>
      <c r="AS40" s="269"/>
      <c r="AT40" s="207" t="s">
        <v>63</v>
      </c>
      <c r="AU40" s="238"/>
      <c r="AV40" s="238"/>
      <c r="AW40" s="238"/>
      <c r="AX40" s="227"/>
      <c r="AY40" s="228"/>
      <c r="AZ40" s="228"/>
      <c r="BA40" s="228"/>
      <c r="BB40" s="228"/>
      <c r="BC40" s="228"/>
      <c r="BD40" s="228"/>
      <c r="BE40" s="228"/>
      <c r="BF40" s="228"/>
      <c r="BG40" s="228"/>
      <c r="BH40" s="228"/>
      <c r="BI40" s="228"/>
      <c r="BJ40" s="228"/>
      <c r="BK40" s="228"/>
      <c r="BL40" s="228"/>
      <c r="BM40" s="229"/>
      <c r="BN40" s="233"/>
      <c r="BO40" s="233"/>
      <c r="BP40" s="233"/>
      <c r="BQ40" s="233"/>
      <c r="BR40" s="234"/>
      <c r="BS40" s="234"/>
      <c r="BT40" s="234"/>
      <c r="BU40" s="234"/>
      <c r="BV40" s="234"/>
      <c r="BW40" s="234"/>
      <c r="BX40" s="234"/>
      <c r="BY40" s="234"/>
      <c r="BZ40" s="235"/>
    </row>
    <row r="41" spans="1:78" ht="19.2">
      <c r="A41" s="11"/>
      <c r="B41" s="104"/>
      <c r="C41" s="267"/>
      <c r="D41" s="270"/>
      <c r="E41" s="129" t="s">
        <v>60</v>
      </c>
      <c r="F41" s="129"/>
      <c r="G41" s="129"/>
      <c r="H41" s="130"/>
      <c r="I41" s="106"/>
      <c r="J41" s="107"/>
      <c r="K41" s="108"/>
      <c r="L41" s="108"/>
      <c r="M41" s="109"/>
      <c r="N41" s="107"/>
      <c r="O41" s="108"/>
      <c r="P41" s="108"/>
      <c r="Q41" s="109"/>
      <c r="R41" s="107"/>
      <c r="S41" s="108"/>
      <c r="T41" s="108"/>
      <c r="U41" s="110"/>
      <c r="V41" s="230"/>
      <c r="W41" s="231"/>
      <c r="X41" s="232"/>
      <c r="Y41" s="233"/>
      <c r="Z41" s="233"/>
      <c r="AA41" s="233"/>
      <c r="AB41" s="233"/>
      <c r="AC41" s="236"/>
      <c r="AD41" s="236"/>
      <c r="AE41" s="236"/>
      <c r="AF41" s="236"/>
      <c r="AG41" s="236"/>
      <c r="AH41" s="236"/>
      <c r="AI41" s="236"/>
      <c r="AJ41" s="236"/>
      <c r="AK41" s="237"/>
      <c r="AQ41" s="104"/>
      <c r="AR41" s="267"/>
      <c r="AS41" s="270"/>
      <c r="AT41" s="129" t="s">
        <v>60</v>
      </c>
      <c r="AU41" s="129"/>
      <c r="AV41" s="129"/>
      <c r="AW41" s="130"/>
      <c r="AX41" s="106"/>
      <c r="AY41" s="107"/>
      <c r="AZ41" s="108"/>
      <c r="BA41" s="108"/>
      <c r="BB41" s="109"/>
      <c r="BC41" s="107"/>
      <c r="BD41" s="108"/>
      <c r="BE41" s="108"/>
      <c r="BF41" s="109"/>
      <c r="BG41" s="107"/>
      <c r="BH41" s="108"/>
      <c r="BI41" s="108"/>
      <c r="BJ41" s="110"/>
      <c r="BK41" s="230"/>
      <c r="BL41" s="231"/>
      <c r="BM41" s="232"/>
      <c r="BN41" s="233"/>
      <c r="BO41" s="233"/>
      <c r="BP41" s="233"/>
      <c r="BQ41" s="233"/>
      <c r="BR41" s="236"/>
      <c r="BS41" s="236"/>
      <c r="BT41" s="236"/>
      <c r="BU41" s="236"/>
      <c r="BV41" s="236"/>
      <c r="BW41" s="236"/>
      <c r="BX41" s="236"/>
      <c r="BY41" s="236"/>
      <c r="BZ41" s="237"/>
    </row>
    <row r="42" spans="1:78" ht="19.2" customHeight="1">
      <c r="A42" s="11"/>
      <c r="B42" s="271" t="s">
        <v>17</v>
      </c>
      <c r="C42" s="272"/>
      <c r="D42" s="273"/>
      <c r="E42" s="143" t="s">
        <v>12</v>
      </c>
      <c r="F42" s="144"/>
      <c r="G42" s="144"/>
      <c r="H42" s="207"/>
      <c r="I42" s="158" t="str">
        <f>+'fud-data'!$C$10</f>
        <v>東京都千代田区御助町1-2-3御助ビル4階</v>
      </c>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60"/>
      <c r="AQ42" s="224" t="s">
        <v>17</v>
      </c>
      <c r="AR42" s="225"/>
      <c r="AS42" s="226"/>
      <c r="AT42" s="141" t="s">
        <v>12</v>
      </c>
      <c r="AU42" s="142"/>
      <c r="AV42" s="142"/>
      <c r="AW42" s="245"/>
      <c r="AX42" s="158" t="str">
        <f>+'fud-data'!$C$10</f>
        <v>東京都千代田区御助町1-2-3御助ビル4階</v>
      </c>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60"/>
    </row>
    <row r="43" spans="1:78" s="13" customFormat="1" ht="10.8" customHeight="1">
      <c r="A43" s="12"/>
      <c r="B43" s="147"/>
      <c r="C43" s="148"/>
      <c r="D43" s="149"/>
      <c r="E43" s="195" t="s">
        <v>16</v>
      </c>
      <c r="F43" s="196"/>
      <c r="G43" s="196"/>
      <c r="H43" s="197"/>
      <c r="I43" s="172" t="str">
        <f>+'fud-data'!$C$11</f>
        <v>株式会社ＲＥＳＣＵＥ ＲＡＮＧＥＲＳ</v>
      </c>
      <c r="J43" s="173"/>
      <c r="K43" s="173"/>
      <c r="L43" s="173"/>
      <c r="M43" s="173"/>
      <c r="N43" s="173"/>
      <c r="O43" s="173"/>
      <c r="P43" s="173"/>
      <c r="Q43" s="173"/>
      <c r="R43" s="173"/>
      <c r="S43" s="173"/>
      <c r="T43" s="173"/>
      <c r="U43" s="173"/>
      <c r="V43" s="173"/>
      <c r="W43" s="173"/>
      <c r="X43" s="174"/>
      <c r="Y43" s="204" t="s">
        <v>14</v>
      </c>
      <c r="Z43" s="205"/>
      <c r="AA43" s="205"/>
      <c r="AB43" s="205"/>
      <c r="AC43" s="205"/>
      <c r="AD43" s="205"/>
      <c r="AE43" s="205"/>
      <c r="AF43" s="205"/>
      <c r="AG43" s="205"/>
      <c r="AH43" s="205"/>
      <c r="AI43" s="205"/>
      <c r="AJ43" s="205"/>
      <c r="AK43" s="206"/>
      <c r="AL43" s="17"/>
      <c r="AM43" s="17"/>
      <c r="AN43" s="17"/>
      <c r="AO43" s="17"/>
      <c r="AP43" s="17"/>
      <c r="AQ43" s="210"/>
      <c r="AR43" s="211"/>
      <c r="AS43" s="212"/>
      <c r="AT43" s="246" t="s">
        <v>16</v>
      </c>
      <c r="AU43" s="247"/>
      <c r="AV43" s="247"/>
      <c r="AW43" s="248"/>
      <c r="AX43" s="217" t="str">
        <f>+'fud-data'!$C$11</f>
        <v>株式会社ＲＥＳＣＵＥ ＲＡＮＧＥＲＳ</v>
      </c>
      <c r="AY43" s="218"/>
      <c r="AZ43" s="218"/>
      <c r="BA43" s="218"/>
      <c r="BB43" s="218"/>
      <c r="BC43" s="218"/>
      <c r="BD43" s="218"/>
      <c r="BE43" s="218"/>
      <c r="BF43" s="218"/>
      <c r="BG43" s="218"/>
      <c r="BH43" s="218"/>
      <c r="BI43" s="218"/>
      <c r="BJ43" s="218"/>
      <c r="BK43" s="218"/>
      <c r="BL43" s="218"/>
      <c r="BM43" s="219"/>
      <c r="BN43" s="204" t="s">
        <v>14</v>
      </c>
      <c r="BO43" s="205"/>
      <c r="BP43" s="205"/>
      <c r="BQ43" s="205"/>
      <c r="BR43" s="205"/>
      <c r="BS43" s="205"/>
      <c r="BT43" s="205"/>
      <c r="BU43" s="205"/>
      <c r="BV43" s="205"/>
      <c r="BW43" s="205"/>
      <c r="BX43" s="205"/>
      <c r="BY43" s="205"/>
      <c r="BZ43" s="206"/>
    </row>
    <row r="44" spans="1:78" ht="12" customHeight="1">
      <c r="A44" s="12"/>
      <c r="B44" s="147"/>
      <c r="C44" s="148"/>
      <c r="D44" s="149"/>
      <c r="E44" s="198"/>
      <c r="F44" s="199"/>
      <c r="G44" s="199"/>
      <c r="H44" s="200"/>
      <c r="I44" s="175"/>
      <c r="J44" s="176"/>
      <c r="K44" s="176"/>
      <c r="L44" s="176"/>
      <c r="M44" s="176"/>
      <c r="N44" s="176"/>
      <c r="O44" s="176"/>
      <c r="P44" s="176"/>
      <c r="Q44" s="176"/>
      <c r="R44" s="176"/>
      <c r="S44" s="176"/>
      <c r="T44" s="176"/>
      <c r="U44" s="176"/>
      <c r="V44" s="176"/>
      <c r="W44" s="176"/>
      <c r="X44" s="177"/>
      <c r="Y44" s="181" t="str">
        <f>IF($AK$44="","",IF('fud-data'!$C$13="","",IF('fud-data'!$C$13&lt;1000000000000,"",LEFT((RIGHT('fud-data'!$C$13+10000000000000,13)),1))))</f>
        <v>1</v>
      </c>
      <c r="Z44" s="183" t="str">
        <f>IF($AK$44="","",IF('fud-data'!$C$13="","",LEFT((RIGHT('fud-data'!$C$13+10000000000000,12)),1)))</f>
        <v>2</v>
      </c>
      <c r="AA44" s="187" t="str">
        <f>IF($AK$44="","",IF('fud-data'!$C$13="","",LEFT((RIGHT('fud-data'!$C$13+10000000000000,11)),1)))</f>
        <v>3</v>
      </c>
      <c r="AB44" s="187" t="str">
        <f>IF($AK$44="","",IF('fud-data'!$C$13="","",LEFT((RIGHT('fud-data'!$C$13+10000000000000,10)),1)))</f>
        <v>4</v>
      </c>
      <c r="AC44" s="189" t="str">
        <f>IF($AK$44="","",IF('fud-data'!$C$13="","",LEFT((RIGHT('fud-data'!$C$13+10000000000000,9)),1)))</f>
        <v>5</v>
      </c>
      <c r="AD44" s="183" t="str">
        <f>IF($AK$44="","",IF('fud-data'!$C$13="","",LEFT((RIGHT('fud-data'!$C$13+10000000000000,8)),1)))</f>
        <v>6</v>
      </c>
      <c r="AE44" s="187" t="str">
        <f>IF($AK$44="","",IF('fud-data'!$C$13="","",LEFT((RIGHT('fud-data'!$C$13+10000000000000,7)),1)))</f>
        <v>7</v>
      </c>
      <c r="AF44" s="187" t="str">
        <f>IF($AK$44="","",IF('fud-data'!$C$13="","",LEFT((RIGHT('fud-data'!$C$13+10000000000000,6)),1)))</f>
        <v>8</v>
      </c>
      <c r="AG44" s="185" t="str">
        <f>IF($AK$44="","",IF('fud-data'!$C$13="","",LEFT((RIGHT('fud-data'!$C$13+10000000000000,5)),1)))</f>
        <v>9</v>
      </c>
      <c r="AH44" s="183" t="str">
        <f>IF($AK$44="","",IF('fud-data'!$C$13="","",LEFT((RIGHT('fud-data'!$C$13+10000000000000,4)),1)))</f>
        <v>0</v>
      </c>
      <c r="AI44" s="187" t="str">
        <f>IF($AK$44="","",IF('fud-data'!$C$13="","",LEFT((RIGHT('fud-data'!$C$13+10000000000000,3)),1)))</f>
        <v>1</v>
      </c>
      <c r="AJ44" s="187" t="str">
        <f>IF($AK$44="","",IF('fud-data'!$C$13="","",LEFT((RIGHT('fud-data'!$C$13+10000000000000,2)),1)))</f>
        <v>2</v>
      </c>
      <c r="AK44" s="208" t="str">
        <f>IF('fud-data'!$G$15="印字しない","",IF('fud-data'!$C$13="","",LEFT((RIGHT('fud-data'!$C$13+10000000000000,1)),1)))</f>
        <v>3</v>
      </c>
      <c r="AQ44" s="210"/>
      <c r="AR44" s="211"/>
      <c r="AS44" s="212"/>
      <c r="AT44" s="249"/>
      <c r="AU44" s="250"/>
      <c r="AV44" s="250"/>
      <c r="AW44" s="251"/>
      <c r="AX44" s="220"/>
      <c r="AY44" s="221"/>
      <c r="AZ44" s="221"/>
      <c r="BA44" s="221"/>
      <c r="BB44" s="221"/>
      <c r="BC44" s="221"/>
      <c r="BD44" s="221"/>
      <c r="BE44" s="221"/>
      <c r="BF44" s="221"/>
      <c r="BG44" s="221"/>
      <c r="BH44" s="221"/>
      <c r="BI44" s="221"/>
      <c r="BJ44" s="221"/>
      <c r="BK44" s="221"/>
      <c r="BL44" s="221"/>
      <c r="BM44" s="222"/>
      <c r="BN44" s="181" t="str">
        <f>IF($BZ$44="","",IF('fud-data'!$C$13="","",IF('fud-data'!$C$13&lt;1000000000000,"",LEFT((RIGHT('fud-data'!$C$13+10000000000000,13)),1))))</f>
        <v>1</v>
      </c>
      <c r="BO44" s="183" t="str">
        <f>IF($BZ$44="","",IF('fud-data'!$C$13="","",LEFT((RIGHT('fud-data'!$C$13+10000000000000,12)),1)))</f>
        <v>2</v>
      </c>
      <c r="BP44" s="187" t="str">
        <f>IF($BZ$44="","",IF('fud-data'!$C$13="","",LEFT((RIGHT('fud-data'!$C$13+10000000000000,11)),1)))</f>
        <v>3</v>
      </c>
      <c r="BQ44" s="187" t="str">
        <f>IF($BZ$44="","",IF('fud-data'!$C$13="","",LEFT((RIGHT('fud-data'!$C$13+10000000000000,10)),1)))</f>
        <v>4</v>
      </c>
      <c r="BR44" s="189" t="str">
        <f>IF($BZ$44="","",IF('fud-data'!$C$13="","",LEFT((RIGHT('fud-data'!$C$13+10000000000000,9)),1)))</f>
        <v>5</v>
      </c>
      <c r="BS44" s="183" t="str">
        <f>IF($BZ$44="","",IF('fud-data'!$C$13="","",LEFT((RIGHT('fud-data'!$C$13+10000000000000,8)),1)))</f>
        <v>6</v>
      </c>
      <c r="BT44" s="187" t="str">
        <f>IF($BZ$44="","",IF('fud-data'!$C$13="","",LEFT((RIGHT('fud-data'!$C$13+10000000000000,7)),1)))</f>
        <v>7</v>
      </c>
      <c r="BU44" s="187" t="str">
        <f>IF($BZ$44="","",IF('fud-data'!$C$13="","",LEFT((RIGHT('fud-data'!$C$13+10000000000000,6)),1)))</f>
        <v>8</v>
      </c>
      <c r="BV44" s="185" t="str">
        <f>IF($BZ$44="","",IF('fud-data'!$C$13="","",LEFT((RIGHT('fud-data'!$C$13+10000000000000,5)),1)))</f>
        <v>9</v>
      </c>
      <c r="BW44" s="183" t="str">
        <f>IF($BZ$44="","",IF('fud-data'!$C$13="","",LEFT((RIGHT('fud-data'!$C$13+10000000000000,4)),1)))</f>
        <v>0</v>
      </c>
      <c r="BX44" s="187" t="str">
        <f>IF($BZ$44="","",IF('fud-data'!$C$13="","",LEFT((RIGHT('fud-data'!$C$13+10000000000000,3)),1)))</f>
        <v>1</v>
      </c>
      <c r="BY44" s="187" t="str">
        <f>IF($BZ$44="","",IF('fud-data'!$C$13="","",LEFT((RIGHT('fud-data'!$C$13+10000000000000,2)),1)))</f>
        <v>2</v>
      </c>
      <c r="BZ44" s="208" t="str">
        <f>IF('fud-data'!$G$15="印字しない","",IF('fud-data'!$C$13="","",LEFT((RIGHT('fud-data'!$C$13+10000000000000,1)),1)))</f>
        <v>3</v>
      </c>
    </row>
    <row r="45" spans="1:78">
      <c r="A45" s="12"/>
      <c r="B45" s="150"/>
      <c r="C45" s="151"/>
      <c r="D45" s="152"/>
      <c r="E45" s="201"/>
      <c r="F45" s="202"/>
      <c r="G45" s="202"/>
      <c r="H45" s="203"/>
      <c r="I45" s="24"/>
      <c r="J45" s="25"/>
      <c r="K45" s="25"/>
      <c r="L45" s="26"/>
      <c r="M45" s="26"/>
      <c r="N45" s="27"/>
      <c r="O45" s="27"/>
      <c r="P45" s="26"/>
      <c r="Q45" s="26"/>
      <c r="R45" s="28" t="s">
        <v>11</v>
      </c>
      <c r="S45" s="26" t="str">
        <f>+'fud-data'!$C$12</f>
        <v>03-1234-5678</v>
      </c>
      <c r="T45" s="27"/>
      <c r="U45" s="27"/>
      <c r="V45" s="27"/>
      <c r="W45" s="27"/>
      <c r="X45" s="29"/>
      <c r="Y45" s="182"/>
      <c r="Z45" s="184"/>
      <c r="AA45" s="188"/>
      <c r="AB45" s="188"/>
      <c r="AC45" s="190"/>
      <c r="AD45" s="184"/>
      <c r="AE45" s="188"/>
      <c r="AF45" s="188"/>
      <c r="AG45" s="186"/>
      <c r="AH45" s="184"/>
      <c r="AI45" s="188"/>
      <c r="AJ45" s="188"/>
      <c r="AK45" s="209"/>
      <c r="AQ45" s="213"/>
      <c r="AR45" s="214"/>
      <c r="AS45" s="215"/>
      <c r="AT45" s="252"/>
      <c r="AU45" s="253"/>
      <c r="AV45" s="253"/>
      <c r="AW45" s="254"/>
      <c r="AX45" s="52"/>
      <c r="AY45" s="53"/>
      <c r="AZ45" s="53"/>
      <c r="BA45" s="54"/>
      <c r="BB45" s="54"/>
      <c r="BC45" s="55"/>
      <c r="BD45" s="55"/>
      <c r="BE45" s="54"/>
      <c r="BF45" s="54"/>
      <c r="BG45" s="56" t="s">
        <v>11</v>
      </c>
      <c r="BH45" s="54" t="str">
        <f>+'fud-data'!$C$12</f>
        <v>03-1234-5678</v>
      </c>
      <c r="BI45" s="55"/>
      <c r="BJ45" s="55"/>
      <c r="BK45" s="55"/>
      <c r="BL45" s="55"/>
      <c r="BM45" s="57"/>
      <c r="BN45" s="182"/>
      <c r="BO45" s="184"/>
      <c r="BP45" s="188"/>
      <c r="BQ45" s="188"/>
      <c r="BR45" s="190"/>
      <c r="BS45" s="184"/>
      <c r="BT45" s="188"/>
      <c r="BU45" s="188"/>
      <c r="BV45" s="186"/>
      <c r="BW45" s="184"/>
      <c r="BX45" s="188"/>
      <c r="BY45" s="188"/>
      <c r="BZ45" s="209"/>
    </row>
    <row r="46" spans="1:78" s="13" customFormat="1" ht="5.4">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row>
    <row r="47" spans="1:78" ht="12" customHeight="1">
      <c r="B47" s="164" t="s">
        <v>38</v>
      </c>
      <c r="C47" s="165"/>
      <c r="D47" s="165"/>
      <c r="E47" s="165"/>
      <c r="F47" s="165"/>
      <c r="G47" s="165"/>
      <c r="H47" s="165"/>
      <c r="I47" s="166"/>
      <c r="J47" s="161">
        <f>IF('fud-data'!$G$15="印字しない","",IF('fud-data'!$C$14="","",+'fud-data'!$C$14))</f>
        <v>54321</v>
      </c>
      <c r="K47" s="162"/>
      <c r="L47" s="162"/>
      <c r="M47" s="162"/>
      <c r="N47" s="162"/>
      <c r="O47" s="162"/>
      <c r="P47" s="163"/>
      <c r="Q47" s="164" t="s">
        <v>37</v>
      </c>
      <c r="R47" s="165"/>
      <c r="S47" s="165"/>
      <c r="T47" s="165"/>
      <c r="U47" s="165"/>
      <c r="V47" s="165"/>
      <c r="W47" s="165"/>
      <c r="X47" s="166"/>
      <c r="Y47" s="167">
        <f>IF('fud-data'!$G$15="印字しない","",IF('fud-data'!$C$15="","",+'fud-data'!$C$15))</f>
        <v>87654321</v>
      </c>
      <c r="Z47" s="168"/>
      <c r="AA47" s="168"/>
      <c r="AB47" s="168"/>
      <c r="AC47" s="168"/>
      <c r="AD47" s="168"/>
      <c r="AE47" s="168"/>
      <c r="AF47" s="168"/>
      <c r="AG47" s="168"/>
      <c r="AH47" s="168"/>
      <c r="AI47" s="168"/>
      <c r="AJ47" s="168"/>
      <c r="AK47" s="169"/>
      <c r="AQ47" s="164" t="s">
        <v>38</v>
      </c>
      <c r="AR47" s="165"/>
      <c r="AS47" s="165"/>
      <c r="AT47" s="165"/>
      <c r="AU47" s="165"/>
      <c r="AV47" s="165"/>
      <c r="AW47" s="165"/>
      <c r="AX47" s="166"/>
      <c r="AY47" s="161">
        <f>IF('fud-data'!$G$15="印字しない","",IF('fud-data'!$C$14="","",+'fud-data'!$C$14))</f>
        <v>54321</v>
      </c>
      <c r="AZ47" s="162"/>
      <c r="BA47" s="162"/>
      <c r="BB47" s="162"/>
      <c r="BC47" s="162"/>
      <c r="BD47" s="162"/>
      <c r="BE47" s="163"/>
      <c r="BF47" s="164" t="s">
        <v>37</v>
      </c>
      <c r="BG47" s="165"/>
      <c r="BH47" s="165"/>
      <c r="BI47" s="165"/>
      <c r="BJ47" s="165"/>
      <c r="BK47" s="165"/>
      <c r="BL47" s="165"/>
      <c r="BM47" s="166"/>
      <c r="BN47" s="167">
        <f>IF('fud-data'!$G$15="印字しない","",IF('fud-data'!$C$15="","",+'fud-data'!$C$15))</f>
        <v>87654321</v>
      </c>
      <c r="BO47" s="168"/>
      <c r="BP47" s="168"/>
      <c r="BQ47" s="168"/>
      <c r="BR47" s="168"/>
      <c r="BS47" s="168"/>
      <c r="BT47" s="168"/>
      <c r="BU47" s="168"/>
      <c r="BV47" s="168"/>
      <c r="BW47" s="168"/>
      <c r="BX47" s="168"/>
      <c r="BY47" s="168"/>
      <c r="BZ47" s="169"/>
    </row>
    <row r="48" spans="1:78">
      <c r="AJ48" s="170">
        <f>+AJ24</f>
        <v>313</v>
      </c>
      <c r="AK48" s="170"/>
      <c r="AQ48" s="4"/>
      <c r="AR48" s="4"/>
      <c r="AS48" s="4"/>
      <c r="AT48" s="4"/>
      <c r="AU48" s="4"/>
      <c r="AV48" s="4"/>
      <c r="AW48" s="4"/>
      <c r="AX48" s="4"/>
      <c r="AY48" s="4"/>
      <c r="AZ48" s="4"/>
      <c r="BA48" s="4"/>
      <c r="BB48" s="4"/>
      <c r="BC48" s="4"/>
      <c r="BD48" s="4"/>
      <c r="BE48" s="4"/>
      <c r="BF48" s="4"/>
      <c r="BG48" s="4"/>
      <c r="BH48" s="4"/>
      <c r="BI48" s="4"/>
      <c r="BJ48" s="4"/>
      <c r="BK48" s="4"/>
      <c r="BL48" s="4"/>
      <c r="BM48" s="4"/>
      <c r="BY48" s="170">
        <f>+BY24</f>
        <v>313</v>
      </c>
      <c r="BZ48" s="170"/>
    </row>
  </sheetData>
  <sheetProtection password="CC71" sheet="1" objects="1" scenarios="1"/>
  <protectedRanges>
    <protectedRange sqref="B10:AK13 I15:X17 Y16:AK17 B34:AK37 I39:X41 Y40:AK41 AQ10:BZ13 AX15:BM17 BN16:BZ17 AQ34:BZ37 AX39:BM41 BN40:BZ41" name="範囲1"/>
  </protectedRanges>
  <mergeCells count="292">
    <mergeCell ref="Y39:AB39"/>
    <mergeCell ref="AC39:AK39"/>
    <mergeCell ref="AT39:AW39"/>
    <mergeCell ref="AX39:BM39"/>
    <mergeCell ref="BN39:BQ39"/>
    <mergeCell ref="AR39:AR41"/>
    <mergeCell ref="AS39:AS41"/>
    <mergeCell ref="AT41:AW41"/>
    <mergeCell ref="I40:X40"/>
    <mergeCell ref="Y40:AB41"/>
    <mergeCell ref="AC40:AK41"/>
    <mergeCell ref="AT40:AW40"/>
    <mergeCell ref="BR39:BZ39"/>
    <mergeCell ref="BD37:BG37"/>
    <mergeCell ref="BH37:BQ37"/>
    <mergeCell ref="BR37:BZ37"/>
    <mergeCell ref="B38:D38"/>
    <mergeCell ref="E38:AK38"/>
    <mergeCell ref="AQ38:AS38"/>
    <mergeCell ref="AT38:BZ38"/>
    <mergeCell ref="E37:N37"/>
    <mergeCell ref="O37:R37"/>
    <mergeCell ref="S37:AB37"/>
    <mergeCell ref="AC37:AK37"/>
    <mergeCell ref="AQ37:AS37"/>
    <mergeCell ref="AT37:BC37"/>
    <mergeCell ref="B37:D37"/>
    <mergeCell ref="E39:H39"/>
    <mergeCell ref="I39:X39"/>
    <mergeCell ref="C39:C41"/>
    <mergeCell ref="D39:D41"/>
    <mergeCell ref="E41:H41"/>
    <mergeCell ref="AX40:BM40"/>
    <mergeCell ref="BN40:BQ41"/>
    <mergeCell ref="V41:X41"/>
    <mergeCell ref="BK41:BM41"/>
    <mergeCell ref="AQ35:AS35"/>
    <mergeCell ref="AT35:BC35"/>
    <mergeCell ref="AC35:AK35"/>
    <mergeCell ref="S36:AB36"/>
    <mergeCell ref="AC36:AK36"/>
    <mergeCell ref="BD34:BG34"/>
    <mergeCell ref="BH34:BQ34"/>
    <mergeCell ref="BD35:BG35"/>
    <mergeCell ref="BH35:BQ35"/>
    <mergeCell ref="BD13:BG13"/>
    <mergeCell ref="BH13:BQ13"/>
    <mergeCell ref="BR13:BZ13"/>
    <mergeCell ref="AR15:AR17"/>
    <mergeCell ref="AS15:AS17"/>
    <mergeCell ref="AT15:AW15"/>
    <mergeCell ref="AX15:BM15"/>
    <mergeCell ref="BN15:BQ15"/>
    <mergeCell ref="BR15:BZ15"/>
    <mergeCell ref="AT16:AW16"/>
    <mergeCell ref="AQ14:AS14"/>
    <mergeCell ref="AT14:BZ14"/>
    <mergeCell ref="BN16:BQ17"/>
    <mergeCell ref="BR16:BZ17"/>
    <mergeCell ref="BR12:BZ12"/>
    <mergeCell ref="B36:D36"/>
    <mergeCell ref="E36:N36"/>
    <mergeCell ref="O36:R36"/>
    <mergeCell ref="AQ8:AS8"/>
    <mergeCell ref="AT8:BC8"/>
    <mergeCell ref="BD8:BG8"/>
    <mergeCell ref="AQ32:AS32"/>
    <mergeCell ref="AT32:BC32"/>
    <mergeCell ref="BD32:BG32"/>
    <mergeCell ref="AQ13:AS13"/>
    <mergeCell ref="B34:D34"/>
    <mergeCell ref="E34:N34"/>
    <mergeCell ref="O34:R34"/>
    <mergeCell ref="S34:AB34"/>
    <mergeCell ref="B35:D35"/>
    <mergeCell ref="E35:N35"/>
    <mergeCell ref="O35:R35"/>
    <mergeCell ref="AX16:BM16"/>
    <mergeCell ref="AT17:AW17"/>
    <mergeCell ref="BK17:BM17"/>
    <mergeCell ref="E33:N33"/>
    <mergeCell ref="O33:R33"/>
    <mergeCell ref="S33:AB33"/>
    <mergeCell ref="BR9:BZ9"/>
    <mergeCell ref="AQ10:AS10"/>
    <mergeCell ref="AT10:BC10"/>
    <mergeCell ref="BD10:BG10"/>
    <mergeCell ref="BH10:BQ10"/>
    <mergeCell ref="AQ11:AS11"/>
    <mergeCell ref="AT11:BC11"/>
    <mergeCell ref="BD11:BG11"/>
    <mergeCell ref="BH11:BQ11"/>
    <mergeCell ref="BR11:BZ11"/>
    <mergeCell ref="B13:D13"/>
    <mergeCell ref="E13:N13"/>
    <mergeCell ref="O13:R13"/>
    <mergeCell ref="S13:AB13"/>
    <mergeCell ref="AC13:AK13"/>
    <mergeCell ref="AC11:AK11"/>
    <mergeCell ref="B12:D12"/>
    <mergeCell ref="E12:N12"/>
    <mergeCell ref="O12:R12"/>
    <mergeCell ref="S12:AB12"/>
    <mergeCell ref="BV44:BV45"/>
    <mergeCell ref="BW44:BW45"/>
    <mergeCell ref="BT20:BT21"/>
    <mergeCell ref="BU20:BU21"/>
    <mergeCell ref="BU44:BU45"/>
    <mergeCell ref="AA20:AA21"/>
    <mergeCell ref="B23:I23"/>
    <mergeCell ref="B32:D32"/>
    <mergeCell ref="B33:D33"/>
    <mergeCell ref="BT44:BT45"/>
    <mergeCell ref="B29:D31"/>
    <mergeCell ref="B42:D45"/>
    <mergeCell ref="AC33:AK33"/>
    <mergeCell ref="BR35:BZ35"/>
    <mergeCell ref="AQ36:AS36"/>
    <mergeCell ref="AT36:BC36"/>
    <mergeCell ref="BD36:BG36"/>
    <mergeCell ref="BH36:BQ36"/>
    <mergeCell ref="AQ33:AS33"/>
    <mergeCell ref="AT33:BC33"/>
    <mergeCell ref="BD33:BG33"/>
    <mergeCell ref="BH33:BQ33"/>
    <mergeCell ref="BR33:BZ33"/>
    <mergeCell ref="BH32:BQ32"/>
    <mergeCell ref="B8:D8"/>
    <mergeCell ref="B9:D9"/>
    <mergeCell ref="E9:N9"/>
    <mergeCell ref="O9:R9"/>
    <mergeCell ref="O8:R8"/>
    <mergeCell ref="I15:X15"/>
    <mergeCell ref="S11:AB11"/>
    <mergeCell ref="AC15:AK15"/>
    <mergeCell ref="Y15:AB15"/>
    <mergeCell ref="S8:AB8"/>
    <mergeCell ref="S9:AB9"/>
    <mergeCell ref="AC9:AK9"/>
    <mergeCell ref="AC12:AK12"/>
    <mergeCell ref="B10:D10"/>
    <mergeCell ref="E10:N10"/>
    <mergeCell ref="O10:R10"/>
    <mergeCell ref="S10:AB10"/>
    <mergeCell ref="AC10:AK10"/>
    <mergeCell ref="B11:D11"/>
    <mergeCell ref="E11:N11"/>
    <mergeCell ref="O11:R11"/>
    <mergeCell ref="C15:C17"/>
    <mergeCell ref="D15:D17"/>
    <mergeCell ref="E15:H15"/>
    <mergeCell ref="AQ47:AX47"/>
    <mergeCell ref="BS44:BS45"/>
    <mergeCell ref="I28:K28"/>
    <mergeCell ref="AX28:AZ28"/>
    <mergeCell ref="E32:N32"/>
    <mergeCell ref="O32:R32"/>
    <mergeCell ref="S32:AB32"/>
    <mergeCell ref="S35:AB35"/>
    <mergeCell ref="AQ34:AS34"/>
    <mergeCell ref="AT34:BC34"/>
    <mergeCell ref="AH44:AH45"/>
    <mergeCell ref="AI44:AI45"/>
    <mergeCell ref="Q47:X47"/>
    <mergeCell ref="AB44:AB45"/>
    <mergeCell ref="AC44:AC45"/>
    <mergeCell ref="E40:H40"/>
    <mergeCell ref="E30:H31"/>
    <mergeCell ref="B47:I47"/>
    <mergeCell ref="J47:P47"/>
    <mergeCell ref="Y47:AK47"/>
    <mergeCell ref="AY47:BE47"/>
    <mergeCell ref="BF47:BM47"/>
    <mergeCell ref="BN47:BZ47"/>
    <mergeCell ref="BX44:BX45"/>
    <mergeCell ref="AJ48:AK48"/>
    <mergeCell ref="BY48:BZ48"/>
    <mergeCell ref="BR40:BZ41"/>
    <mergeCell ref="BR36:BZ36"/>
    <mergeCell ref="BX20:BX21"/>
    <mergeCell ref="BY20:BY21"/>
    <mergeCell ref="BZ20:BZ21"/>
    <mergeCell ref="BP20:BP21"/>
    <mergeCell ref="BQ20:BQ21"/>
    <mergeCell ref="BR34:BZ34"/>
    <mergeCell ref="AJ44:AJ45"/>
    <mergeCell ref="AK44:AK45"/>
    <mergeCell ref="AT29:AW29"/>
    <mergeCell ref="AT42:AW42"/>
    <mergeCell ref="AT43:AW45"/>
    <mergeCell ref="AC34:AK34"/>
    <mergeCell ref="AD44:AD45"/>
    <mergeCell ref="AC32:AK32"/>
    <mergeCell ref="BN43:BZ43"/>
    <mergeCell ref="BN44:BN45"/>
    <mergeCell ref="BO44:BO45"/>
    <mergeCell ref="BP44:BP45"/>
    <mergeCell ref="BQ44:BQ45"/>
    <mergeCell ref="BR44:BR45"/>
    <mergeCell ref="E6:H7"/>
    <mergeCell ref="E8:N8"/>
    <mergeCell ref="AQ42:AS45"/>
    <mergeCell ref="AQ29:AS31"/>
    <mergeCell ref="AK20:AK21"/>
    <mergeCell ref="AJ20:AJ21"/>
    <mergeCell ref="AI20:AI21"/>
    <mergeCell ref="AH20:AH21"/>
    <mergeCell ref="AX43:BM44"/>
    <mergeCell ref="I16:X16"/>
    <mergeCell ref="V17:X17"/>
    <mergeCell ref="Y16:AB17"/>
    <mergeCell ref="AC16:AK17"/>
    <mergeCell ref="E16:H16"/>
    <mergeCell ref="E17:H17"/>
    <mergeCell ref="AQ9:AS9"/>
    <mergeCell ref="AT9:BC9"/>
    <mergeCell ref="BD9:BG9"/>
    <mergeCell ref="BH9:BQ9"/>
    <mergeCell ref="AQ12:AS12"/>
    <mergeCell ref="AT12:BC12"/>
    <mergeCell ref="BD12:BG12"/>
    <mergeCell ref="BH12:BQ12"/>
    <mergeCell ref="AT13:BC13"/>
    <mergeCell ref="AQ18:AS21"/>
    <mergeCell ref="AT18:AW18"/>
    <mergeCell ref="AT19:AW21"/>
    <mergeCell ref="AX19:BM20"/>
    <mergeCell ref="AQ23:AX23"/>
    <mergeCell ref="BR20:BR21"/>
    <mergeCell ref="BV20:BV21"/>
    <mergeCell ref="BS20:BS21"/>
    <mergeCell ref="BN19:BZ19"/>
    <mergeCell ref="BN20:BN21"/>
    <mergeCell ref="BO20:BO21"/>
    <mergeCell ref="BN6:BZ6"/>
    <mergeCell ref="BR8:BZ8"/>
    <mergeCell ref="BW20:BW21"/>
    <mergeCell ref="BR10:BZ10"/>
    <mergeCell ref="BH8:BQ8"/>
    <mergeCell ref="AT6:AW7"/>
    <mergeCell ref="E43:H45"/>
    <mergeCell ref="I43:X44"/>
    <mergeCell ref="Y43:AK43"/>
    <mergeCell ref="Y44:Y45"/>
    <mergeCell ref="Z44:Z45"/>
    <mergeCell ref="AA44:AA45"/>
    <mergeCell ref="AE44:AE45"/>
    <mergeCell ref="AF44:AF45"/>
    <mergeCell ref="AG44:AG45"/>
    <mergeCell ref="Y30:AK30"/>
    <mergeCell ref="E42:H42"/>
    <mergeCell ref="I42:AK42"/>
    <mergeCell ref="AX42:BZ42"/>
    <mergeCell ref="BN30:BZ30"/>
    <mergeCell ref="BR32:BZ32"/>
    <mergeCell ref="BY44:BY45"/>
    <mergeCell ref="BZ44:BZ45"/>
    <mergeCell ref="AT30:AW31"/>
    <mergeCell ref="E19:H21"/>
    <mergeCell ref="AC8:AK8"/>
    <mergeCell ref="Y20:Y21"/>
    <mergeCell ref="Z20:Z21"/>
    <mergeCell ref="AG20:AG21"/>
    <mergeCell ref="AF20:AF21"/>
    <mergeCell ref="AE20:AE21"/>
    <mergeCell ref="AD20:AD21"/>
    <mergeCell ref="AC20:AC21"/>
    <mergeCell ref="AB20:AB21"/>
    <mergeCell ref="B5:D7"/>
    <mergeCell ref="AX4:AZ4"/>
    <mergeCell ref="AQ5:AS7"/>
    <mergeCell ref="AT5:AW5"/>
    <mergeCell ref="E29:H29"/>
    <mergeCell ref="B14:D14"/>
    <mergeCell ref="B18:D21"/>
    <mergeCell ref="E14:AK14"/>
    <mergeCell ref="I18:AK18"/>
    <mergeCell ref="AX18:BZ18"/>
    <mergeCell ref="J23:P23"/>
    <mergeCell ref="Q23:X23"/>
    <mergeCell ref="Y23:AK23"/>
    <mergeCell ref="AJ24:AK24"/>
    <mergeCell ref="AY23:BE23"/>
    <mergeCell ref="BF23:BM23"/>
    <mergeCell ref="BN23:BZ23"/>
    <mergeCell ref="BY24:BZ24"/>
    <mergeCell ref="E5:H5"/>
    <mergeCell ref="Y6:AK6"/>
    <mergeCell ref="Y19:AK19"/>
    <mergeCell ref="I19:X20"/>
    <mergeCell ref="I4:K4"/>
    <mergeCell ref="E18:H18"/>
  </mergeCells>
  <phoneticPr fontId="2"/>
  <dataValidations count="1">
    <dataValidation type="list" allowBlank="1" showInputMessage="1" showErrorMessage="1" sqref="F1:F3">
      <formula1>"印字する,印字しない"</formula1>
    </dataValidation>
  </dataValidations>
  <printOptions horizontalCentered="1" verticalCentered="1"/>
  <pageMargins left="0.39370078740157483" right="0.39370078740157483" top="0.39370078740157483" bottom="0.39370078740157483" header="0.31496062992125984" footer="0.31496062992125984"/>
  <pageSetup paperSize="9" scale="82"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fud-data</vt:lpstr>
      <vt:lpstr>fud</vt:lpstr>
      <vt:lpstr>fud!Print_Area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不動産使用料支払調書v4.01</dc:title>
  <dc:creator>RRS</dc:creator>
  <cp:lastModifiedBy>RRS</cp:lastModifiedBy>
  <cp:lastPrinted>2017-01-13T00:42:58Z</cp:lastPrinted>
  <dcterms:created xsi:type="dcterms:W3CDTF">2015-01-22T01:37:33Z</dcterms:created>
  <dcterms:modified xsi:type="dcterms:W3CDTF">2017-01-13T00:43:37Z</dcterms:modified>
</cp:coreProperties>
</file>