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308" yWindow="744" windowWidth="21744" windowHeight="10116"/>
  </bookViews>
  <sheets>
    <sheet name="tai-data" sheetId="3" r:id="rId1"/>
    <sheet name="tai" sheetId="2" r:id="rId2"/>
  </sheets>
  <definedNames>
    <definedName name="_xlnm.Print_Area" localSheetId="1">tai!$B$4:$BZ$54</definedName>
    <definedName name="QQ">#REF!</definedName>
  </definedNames>
  <calcPr calcId="145621"/>
</workbook>
</file>

<file path=xl/calcChain.xml><?xml version="1.0" encoding="utf-8"?>
<calcChain xmlns="http://schemas.openxmlformats.org/spreadsheetml/2006/main">
  <c r="L31" i="2" l="1"/>
  <c r="BA31" i="2"/>
  <c r="BA4" i="2"/>
  <c r="I42" i="3" l="1"/>
  <c r="AT47" i="2"/>
  <c r="BR46" i="2" l="1"/>
  <c r="BI46" i="2"/>
  <c r="AZ46" i="2"/>
  <c r="AQ46" i="2" s="1"/>
  <c r="BI43" i="2"/>
  <c r="BC44" i="2" s="1"/>
  <c r="BI41" i="2"/>
  <c r="BO42" i="2" s="1"/>
  <c r="BI39" i="2"/>
  <c r="BO40" i="2" s="1"/>
  <c r="BF36" i="2"/>
  <c r="AX36" i="2"/>
  <c r="AZ34" i="2"/>
  <c r="AZ33" i="2"/>
  <c r="AT20" i="2"/>
  <c r="BR19" i="2"/>
  <c r="BI19" i="2"/>
  <c r="AZ19" i="2"/>
  <c r="AQ19" i="2" s="1"/>
  <c r="BI16" i="2"/>
  <c r="BO17" i="2" s="1"/>
  <c r="BI14" i="2"/>
  <c r="BU15" i="2" s="1"/>
  <c r="BI12" i="2"/>
  <c r="BC13" i="2" s="1"/>
  <c r="BF9" i="2"/>
  <c r="AX9" i="2"/>
  <c r="AZ7" i="2"/>
  <c r="AZ6" i="2"/>
  <c r="E47" i="2"/>
  <c r="AC46" i="2"/>
  <c r="T46" i="2"/>
  <c r="K46" i="2"/>
  <c r="B46" i="2" s="1"/>
  <c r="T43" i="2"/>
  <c r="T44" i="2" s="1"/>
  <c r="T41" i="2"/>
  <c r="Z42" i="2" s="1"/>
  <c r="T39" i="2"/>
  <c r="Z40" i="2" s="1"/>
  <c r="Q36" i="2"/>
  <c r="I36" i="2"/>
  <c r="K34" i="2"/>
  <c r="K33" i="2"/>
  <c r="BN53" i="2"/>
  <c r="AY53" i="2"/>
  <c r="BH51" i="2"/>
  <c r="AX50" i="2"/>
  <c r="AX49" i="2"/>
  <c r="BJ48" i="2"/>
  <c r="Y53" i="2"/>
  <c r="J53" i="2"/>
  <c r="S51" i="2"/>
  <c r="I50" i="2"/>
  <c r="I49" i="2"/>
  <c r="U48" i="2"/>
  <c r="BN26" i="2"/>
  <c r="AY26" i="2"/>
  <c r="BH24" i="2"/>
  <c r="AX23" i="2"/>
  <c r="AX22" i="2"/>
  <c r="BJ21" i="2"/>
  <c r="Y26" i="2"/>
  <c r="J26" i="2"/>
  <c r="U21" i="2"/>
  <c r="BG48" i="2" s="1"/>
  <c r="T16" i="2"/>
  <c r="Z17" i="2" s="1"/>
  <c r="T14" i="2"/>
  <c r="Z15" i="2" s="1"/>
  <c r="T12" i="2"/>
  <c r="N13" i="2" s="1"/>
  <c r="AY21" i="2" l="1"/>
  <c r="BD48" i="2"/>
  <c r="T48" i="2"/>
  <c r="BC21" i="2"/>
  <c r="L48" i="2"/>
  <c r="BG21" i="2"/>
  <c r="P48" i="2"/>
  <c r="AZ48" i="2"/>
  <c r="BU42" i="2"/>
  <c r="N42" i="2"/>
  <c r="BO15" i="2"/>
  <c r="BC42" i="2"/>
  <c r="BI13" i="2"/>
  <c r="AF40" i="2"/>
  <c r="BI42" i="2"/>
  <c r="BC15" i="2"/>
  <c r="BU40" i="2"/>
  <c r="BI44" i="2"/>
  <c r="BI40" i="2"/>
  <c r="T42" i="2"/>
  <c r="AF42" i="2"/>
  <c r="BI15" i="2"/>
  <c r="BC40" i="2"/>
  <c r="N44" i="2"/>
  <c r="BU17" i="2"/>
  <c r="N40" i="2"/>
  <c r="AF44" i="2"/>
  <c r="BO13" i="2"/>
  <c r="BC17" i="2"/>
  <c r="BO44" i="2"/>
  <c r="T40" i="2"/>
  <c r="Z44" i="2"/>
  <c r="BU13" i="2"/>
  <c r="BI17" i="2"/>
  <c r="BU44" i="2"/>
  <c r="BH48" i="2"/>
  <c r="BD21" i="2"/>
  <c r="BH21" i="2"/>
  <c r="BA48" i="2"/>
  <c r="BE48" i="2"/>
  <c r="BI48" i="2"/>
  <c r="BA21" i="2"/>
  <c r="BE21" i="2"/>
  <c r="BI21" i="2"/>
  <c r="J48" i="2"/>
  <c r="N48" i="2"/>
  <c r="R48" i="2"/>
  <c r="AX48" i="2"/>
  <c r="BB48" i="2"/>
  <c r="BF48" i="2"/>
  <c r="AZ21" i="2"/>
  <c r="I48" i="2"/>
  <c r="M48" i="2"/>
  <c r="Q48" i="2"/>
  <c r="AX21" i="2"/>
  <c r="BB21" i="2"/>
  <c r="BF21" i="2"/>
  <c r="K48" i="2"/>
  <c r="O48" i="2"/>
  <c r="S48" i="2"/>
  <c r="AY48" i="2"/>
  <c r="BC48" i="2"/>
  <c r="T13" i="2"/>
  <c r="AF13" i="2"/>
  <c r="AF17" i="2"/>
  <c r="AF15" i="2"/>
  <c r="N15" i="2"/>
  <c r="N17" i="2"/>
  <c r="T15" i="2"/>
  <c r="T17" i="2"/>
  <c r="Z13" i="2"/>
  <c r="E20" i="2"/>
  <c r="AC19" i="2"/>
  <c r="T19" i="2"/>
  <c r="K19" i="2"/>
  <c r="B19" i="2" s="1"/>
  <c r="O42" i="3" l="1"/>
  <c r="C23" i="3"/>
  <c r="I9" i="2"/>
  <c r="Q9" i="2"/>
  <c r="K7" i="2"/>
  <c r="C24" i="3" l="1"/>
  <c r="T32" i="2"/>
  <c r="I23" i="2"/>
  <c r="C25" i="3" l="1"/>
  <c r="BI5" i="2"/>
  <c r="P32" i="2"/>
  <c r="M32" i="2"/>
  <c r="R32" i="2"/>
  <c r="L32" i="2"/>
  <c r="K32" i="2"/>
  <c r="J32" i="2"/>
  <c r="O32" i="2"/>
  <c r="I32" i="2"/>
  <c r="N32" i="2"/>
  <c r="S32" i="2"/>
  <c r="Q32" i="2"/>
  <c r="J21" i="2"/>
  <c r="T5" i="2"/>
  <c r="H14" i="3"/>
  <c r="AX31" i="2"/>
  <c r="AT34" i="2" s="1"/>
  <c r="I31" i="2"/>
  <c r="E34" i="2" s="1"/>
  <c r="AX4" i="2"/>
  <c r="AT7" i="2" s="1"/>
  <c r="H13" i="3"/>
  <c r="I12" i="3" s="1"/>
  <c r="I13" i="3" s="1"/>
  <c r="K6" i="2"/>
  <c r="B42" i="3"/>
  <c r="H42" i="3"/>
  <c r="S24" i="2"/>
  <c r="I22" i="2"/>
  <c r="I4" i="2"/>
  <c r="E7" i="2" s="1"/>
  <c r="K42" i="3"/>
  <c r="J42" i="3"/>
  <c r="BF5" i="2" l="1"/>
  <c r="BC5" i="2"/>
  <c r="BA5" i="2"/>
  <c r="AZ5" i="2"/>
  <c r="AY5" i="2"/>
  <c r="BD5" i="2"/>
  <c r="BG5" i="2"/>
  <c r="BB5" i="2"/>
  <c r="BE5" i="2"/>
  <c r="BH5" i="2"/>
  <c r="AX5" i="2"/>
  <c r="C26" i="3"/>
  <c r="BI32" i="2"/>
  <c r="Q21" i="2"/>
  <c r="I21" i="2"/>
  <c r="T21" i="2"/>
  <c r="L21" i="2"/>
  <c r="P21" i="2"/>
  <c r="M21" i="2"/>
  <c r="S21" i="2"/>
  <c r="O21" i="2"/>
  <c r="K21" i="2"/>
  <c r="S5" i="2"/>
  <c r="R21" i="2"/>
  <c r="N21" i="2"/>
  <c r="O5" i="2"/>
  <c r="K5" i="2"/>
  <c r="R5" i="2"/>
  <c r="N5" i="2"/>
  <c r="J5" i="2"/>
  <c r="Q5" i="2"/>
  <c r="M5" i="2"/>
  <c r="I5" i="2"/>
  <c r="P5" i="2"/>
  <c r="L5" i="2"/>
  <c r="BE32" i="2" l="1"/>
  <c r="BB32" i="2"/>
  <c r="BG32" i="2"/>
  <c r="BA32" i="2"/>
  <c r="AZ32" i="2"/>
  <c r="AY32" i="2"/>
  <c r="BD32" i="2"/>
  <c r="AX32" i="2"/>
  <c r="BC32" i="2"/>
  <c r="BH32" i="2"/>
  <c r="BF32" i="2"/>
</calcChain>
</file>

<file path=xl/sharedStrings.xml><?xml version="1.0" encoding="utf-8"?>
<sst xmlns="http://schemas.openxmlformats.org/spreadsheetml/2006/main" count="221" uniqueCount="116">
  <si>
    <t>（摘要）</t>
  </si>
  <si>
    <t>支払者</t>
    <rPh sb="0" eb="2">
      <t>シハライ</t>
    </rPh>
    <rPh sb="2" eb="3">
      <t>シャ</t>
    </rPh>
    <phoneticPr fontId="2"/>
  </si>
  <si>
    <t>所在地</t>
    <rPh sb="0" eb="3">
      <t>ショザイチ</t>
    </rPh>
    <phoneticPr fontId="2"/>
  </si>
  <si>
    <t>年分</t>
    <rPh sb="0" eb="2">
      <t>ネンブン</t>
    </rPh>
    <phoneticPr fontId="2"/>
  </si>
  <si>
    <t>名称</t>
    <rPh sb="0" eb="2">
      <t>メイショウ</t>
    </rPh>
    <phoneticPr fontId="2"/>
  </si>
  <si>
    <t>電話</t>
    <rPh sb="0" eb="2">
      <t>デンワ</t>
    </rPh>
    <phoneticPr fontId="2"/>
  </si>
  <si>
    <t>平成</t>
    <rPh sb="0" eb="2">
      <t>ヘイセイ</t>
    </rPh>
    <phoneticPr fontId="2"/>
  </si>
  <si>
    <t>整理欄</t>
    <rPh sb="0" eb="2">
      <t>セイリ</t>
    </rPh>
    <rPh sb="2" eb="3">
      <t>ラン</t>
    </rPh>
    <phoneticPr fontId="2"/>
  </si>
  <si>
    <t>平成</t>
    <phoneticPr fontId="2"/>
  </si>
  <si>
    <t>氏名</t>
    <rPh sb="0" eb="2">
      <t>シメイ</t>
    </rPh>
    <phoneticPr fontId="2"/>
  </si>
  <si>
    <t>住所</t>
    <rPh sb="0" eb="2">
      <t>ジュウショ</t>
    </rPh>
    <phoneticPr fontId="2"/>
  </si>
  <si>
    <t>源泉徴収税額</t>
    <rPh sb="0" eb="2">
      <t>ゲンセン</t>
    </rPh>
    <rPh sb="2" eb="4">
      <t>チョウシュウ</t>
    </rPh>
    <rPh sb="4" eb="6">
      <t>ゼイガク</t>
    </rPh>
    <phoneticPr fontId="2"/>
  </si>
  <si>
    <t>（電話）</t>
    <phoneticPr fontId="2"/>
  </si>
  <si>
    <t>住所（居所）
又は所在地</t>
    <phoneticPr fontId="2"/>
  </si>
  <si>
    <t>法人(個人)番号</t>
    <rPh sb="0" eb="2">
      <t>ホウジン</t>
    </rPh>
    <phoneticPr fontId="4"/>
  </si>
  <si>
    <t>個人番号又は法人番号</t>
    <rPh sb="4" eb="5">
      <t>マタ</t>
    </rPh>
    <rPh sb="6" eb="8">
      <t>ホウジン</t>
    </rPh>
    <rPh sb="8" eb="10">
      <t>バンゴウ</t>
    </rPh>
    <phoneticPr fontId="4"/>
  </si>
  <si>
    <t>氏名又は
名称</t>
    <phoneticPr fontId="2"/>
  </si>
  <si>
    <t>氏名又は
名称</t>
    <phoneticPr fontId="2"/>
  </si>
  <si>
    <t>支払者</t>
    <phoneticPr fontId="2"/>
  </si>
  <si>
    <t>支払を
受ける者</t>
    <phoneticPr fontId="2"/>
  </si>
  <si>
    <t>区分</t>
    <rPh sb="0" eb="2">
      <t>クブン</t>
    </rPh>
    <phoneticPr fontId="2"/>
  </si>
  <si>
    <t>摘要</t>
    <rPh sb="0" eb="2">
      <t>ﾃｷﾖｳ</t>
    </rPh>
    <phoneticPr fontId="2" type="halfwidthKatakana"/>
  </si>
  <si>
    <t>マイナンバー</t>
    <phoneticPr fontId="2"/>
  </si>
  <si>
    <t>03-1234-5678</t>
    <phoneticPr fontId="2"/>
  </si>
  <si>
    <t>株式会社ＲＥＳＣＵＥ ＲＡＮＧＥＲＳ</t>
  </si>
  <si>
    <t>東京都○○区○○町1-2-3</t>
    <rPh sb="5" eb="6">
      <t>ク</t>
    </rPh>
    <rPh sb="8" eb="9">
      <t>マチ</t>
    </rPh>
    <phoneticPr fontId="1"/>
  </si>
  <si>
    <t>東京都△△区△△町4-5-6</t>
    <rPh sb="5" eb="6">
      <t>ク</t>
    </rPh>
    <rPh sb="8" eb="9">
      <t>マチ</t>
    </rPh>
    <phoneticPr fontId="1"/>
  </si>
  <si>
    <t>東京都○○区○○町7-8-9</t>
    <rPh sb="5" eb="6">
      <t>ク</t>
    </rPh>
    <rPh sb="8" eb="9">
      <t>マチ</t>
    </rPh>
    <phoneticPr fontId="1"/>
  </si>
  <si>
    <t>東京都△△区△△町10-11-12</t>
    <rPh sb="5" eb="6">
      <t>ク</t>
    </rPh>
    <rPh sb="8" eb="9">
      <t>マチ</t>
    </rPh>
    <phoneticPr fontId="1"/>
  </si>
  <si>
    <t>東京都△△区△△町13-14-15</t>
    <rPh sb="5" eb="6">
      <t>ク</t>
    </rPh>
    <rPh sb="8" eb="9">
      <t>マチ</t>
    </rPh>
    <phoneticPr fontId="1"/>
  </si>
  <si>
    <t>No.</t>
    <phoneticPr fontId="2"/>
  </si>
  <si>
    <t>東京都千代田区御助町1-2-3御助ビル4階</t>
    <rPh sb="0" eb="3">
      <t>ト</t>
    </rPh>
    <rPh sb="3" eb="7">
      <t>チヨダク</t>
    </rPh>
    <rPh sb="7" eb="9">
      <t>オタス</t>
    </rPh>
    <rPh sb="9" eb="10">
      <t>マチ</t>
    </rPh>
    <rPh sb="15" eb="17">
      <t>オタス</t>
    </rPh>
    <rPh sb="20" eb="21">
      <t>カイ</t>
    </rPh>
    <phoneticPr fontId="5"/>
  </si>
  <si>
    <t>摘要1</t>
    <rPh sb="0" eb="2">
      <t>テキヨウ</t>
    </rPh>
    <phoneticPr fontId="2"/>
  </si>
  <si>
    <t>摘要2</t>
    <rPh sb="0" eb="2">
      <t>テキヨウ</t>
    </rPh>
    <phoneticPr fontId="2"/>
  </si>
  <si>
    <t>摘要3</t>
    <rPh sb="0" eb="2">
      <t>テキヨウ</t>
    </rPh>
    <phoneticPr fontId="2"/>
  </si>
  <si>
    <t>摘要4</t>
    <rPh sb="0" eb="2">
      <t>テキヨウ</t>
    </rPh>
    <phoneticPr fontId="2"/>
  </si>
  <si>
    <t>摘要5</t>
    <rPh sb="0" eb="2">
      <t>テキヨウ</t>
    </rPh>
    <phoneticPr fontId="2"/>
  </si>
  <si>
    <t>署番号</t>
    <rPh sb="0" eb="1">
      <t>ショ</t>
    </rPh>
    <rPh sb="1" eb="3">
      <t>バンゴウ</t>
    </rPh>
    <phoneticPr fontId="4"/>
  </si>
  <si>
    <t>整理番号</t>
    <rPh sb="0" eb="2">
      <t>セイリ</t>
    </rPh>
    <rPh sb="2" eb="4">
      <t>バンゴウ</t>
    </rPh>
    <phoneticPr fontId="4"/>
  </si>
  <si>
    <t>左の色の部分以外はシートを保護してますので訂正はできません。(解除パスワードは"1111"です。)</t>
    <rPh sb="0" eb="1">
      <t>ヒダリ</t>
    </rPh>
    <rPh sb="2" eb="3">
      <t>イロ</t>
    </rPh>
    <rPh sb="4" eb="6">
      <t>ブブン</t>
    </rPh>
    <rPh sb="6" eb="8">
      <t>イガイ</t>
    </rPh>
    <phoneticPr fontId="4"/>
  </si>
  <si>
    <t>Excel2000で開くとシート全体が保護されてますので、保護を解除してください。</t>
    <rPh sb="10" eb="11">
      <t>ヒラ</t>
    </rPh>
    <rPh sb="16" eb="18">
      <t>ゼンタイ</t>
    </rPh>
    <rPh sb="19" eb="21">
      <t>ホゴ</t>
    </rPh>
    <rPh sb="29" eb="31">
      <t>ホゴ</t>
    </rPh>
    <rPh sb="32" eb="34">
      <t>カイジョ</t>
    </rPh>
    <phoneticPr fontId="4"/>
  </si>
  <si>
    <t>整理番号</t>
    <rPh sb="0" eb="2">
      <t>セイリ</t>
    </rPh>
    <rPh sb="2" eb="4">
      <t>バンゴウ</t>
    </rPh>
    <phoneticPr fontId="2"/>
  </si>
  <si>
    <t>署番号</t>
    <phoneticPr fontId="2"/>
  </si>
  <si>
    <t>DATAは"hou-data"シートから転記されます。シートを保護してますので訂正はできません。(解除パスワードは"1111"です。)</t>
    <rPh sb="20" eb="22">
      <t>テンキ</t>
    </rPh>
    <rPh sb="31" eb="33">
      <t>ホゴ</t>
    </rPh>
    <rPh sb="39" eb="41">
      <t>テイセイ</t>
    </rPh>
    <rPh sb="49" eb="51">
      <t>カイジョ</t>
    </rPh>
    <phoneticPr fontId="6"/>
  </si>
  <si>
    <t>色のみに入力する。</t>
    <rPh sb="0" eb="1">
      <t>イロ</t>
    </rPh>
    <rPh sb="4" eb="6">
      <t>ニュウリョク</t>
    </rPh>
    <phoneticPr fontId="4"/>
  </si>
  <si>
    <t>色はドロップダウンリストから選択するか記載する事項を入力してください。</t>
    <rPh sb="0" eb="1">
      <t>イロ</t>
    </rPh>
    <rPh sb="14" eb="16">
      <t>センタク</t>
    </rPh>
    <rPh sb="19" eb="21">
      <t>キサイ</t>
    </rPh>
    <rPh sb="23" eb="25">
      <t>ジコウ</t>
    </rPh>
    <rPh sb="24" eb="25">
      <t>キジ</t>
    </rPh>
    <rPh sb="26" eb="28">
      <t>ニュウリョク</t>
    </rPh>
    <phoneticPr fontId="4"/>
  </si>
  <si>
    <t>印刷</t>
    <rPh sb="0" eb="2">
      <t>インサツ</t>
    </rPh>
    <phoneticPr fontId="2"/>
  </si>
  <si>
    <t>左</t>
    <rPh sb="0" eb="1">
      <t>ヒダリ</t>
    </rPh>
    <phoneticPr fontId="2"/>
  </si>
  <si>
    <t>右</t>
    <rPh sb="0" eb="1">
      <t>ミギ</t>
    </rPh>
    <phoneticPr fontId="2"/>
  </si>
  <si>
    <t>一度に4つのデータが印刷されますので4つ毎に印刷したい番号を変えてください。</t>
    <rPh sb="10" eb="12">
      <t>インサツ</t>
    </rPh>
    <rPh sb="20" eb="21">
      <t>ゴト</t>
    </rPh>
    <phoneticPr fontId="2"/>
  </si>
  <si>
    <t>印刷開始データ</t>
    <rPh sb="0" eb="2">
      <t>インサツ</t>
    </rPh>
    <rPh sb="2" eb="4">
      <t>カイシ</t>
    </rPh>
    <phoneticPr fontId="2"/>
  </si>
  <si>
    <t>支払者の支払調書のデータ</t>
    <phoneticPr fontId="2"/>
  </si>
  <si>
    <t>←ドロップダウンリストから"印刷する"or"印刷しない"を選択する。</t>
    <rPh sb="14" eb="16">
      <t>インサツ</t>
    </rPh>
    <rPh sb="22" eb="24">
      <t>インサツ</t>
    </rPh>
    <rPh sb="29" eb="31">
      <t>センタク</t>
    </rPh>
    <phoneticPr fontId="4"/>
  </si>
  <si>
    <t>マイナンバーは、個人情報保護のために、その管理に当たっては、安全管理措置などが義務付けられます。</t>
    <phoneticPr fontId="4"/>
  </si>
  <si>
    <t>法令に従い十分に気を付けて取り扱ってください。</t>
    <rPh sb="0" eb="2">
      <t>ホウレイ</t>
    </rPh>
    <rPh sb="3" eb="4">
      <t>シタガ</t>
    </rPh>
    <rPh sb="5" eb="7">
      <t>ジュウブン</t>
    </rPh>
    <rPh sb="8" eb="9">
      <t>キ</t>
    </rPh>
    <rPh sb="10" eb="11">
      <t>ツ</t>
    </rPh>
    <rPh sb="13" eb="14">
      <t>ト</t>
    </rPh>
    <rPh sb="15" eb="16">
      <t>アツカ</t>
    </rPh>
    <phoneticPr fontId="4"/>
  </si>
  <si>
    <t>支払調書の1段目のみの印刷ツールです。</t>
    <rPh sb="11" eb="13">
      <t>インサツ</t>
    </rPh>
    <phoneticPr fontId="2"/>
  </si>
  <si>
    <t>2段目以降の金額等は印刷データを選択してその都度は支払調書に直接入力してください。</t>
    <rPh sb="6" eb="8">
      <t>キンガク</t>
    </rPh>
    <rPh sb="8" eb="9">
      <t>トウ</t>
    </rPh>
    <rPh sb="25" eb="27">
      <t>シハライ</t>
    </rPh>
    <rPh sb="27" eb="29">
      <t>チョウショ</t>
    </rPh>
    <rPh sb="30" eb="32">
      <t>チョクセツ</t>
    </rPh>
    <phoneticPr fontId="2"/>
  </si>
  <si>
    <t>下記印刷開始データのドロップダウンリストから印刷をしたい番号を選択し、</t>
    <rPh sb="0" eb="2">
      <t>カキ</t>
    </rPh>
    <rPh sb="2" eb="4">
      <t>インサツ</t>
    </rPh>
    <rPh sb="4" eb="6">
      <t>カイシ</t>
    </rPh>
    <phoneticPr fontId="2"/>
  </si>
  <si>
    <t>個人番号</t>
    <phoneticPr fontId="2"/>
  </si>
  <si>
    <t>住所（居所）</t>
    <phoneticPr fontId="2"/>
  </si>
  <si>
    <t>（役職名）</t>
    <phoneticPr fontId="2"/>
  </si>
  <si>
    <t>氏名</t>
    <rPh sb="0" eb="2">
      <t>シメイ</t>
    </rPh>
    <phoneticPr fontId="2"/>
  </si>
  <si>
    <t>同上</t>
    <rPh sb="0" eb="2">
      <t>ドウジョウ</t>
    </rPh>
    <phoneticPr fontId="2"/>
  </si>
  <si>
    <t>代表取締役社長</t>
    <rPh sb="0" eb="2">
      <t>ダイヒョウ</t>
    </rPh>
    <rPh sb="2" eb="5">
      <t>トリシマリヤク</t>
    </rPh>
    <rPh sb="5" eb="7">
      <t>シャチョウ</t>
    </rPh>
    <phoneticPr fontId="2"/>
  </si>
  <si>
    <t>支払金額</t>
  </si>
  <si>
    <t>支払金額</t>
    <phoneticPr fontId="2"/>
  </si>
  <si>
    <t>源泉徴収税額</t>
  </si>
  <si>
    <t>市町村民税</t>
  </si>
  <si>
    <t>市町村民税</t>
    <rPh sb="0" eb="3">
      <t>シチョウソン</t>
    </rPh>
    <rPh sb="1" eb="3">
      <t>チョウソン</t>
    </rPh>
    <rPh sb="3" eb="4">
      <t>ミン</t>
    </rPh>
    <rPh sb="4" eb="5">
      <t>ゼイ</t>
    </rPh>
    <phoneticPr fontId="2"/>
  </si>
  <si>
    <t>道府県民税</t>
  </si>
  <si>
    <t>道府県民税</t>
    <rPh sb="0" eb="3">
      <t>ドウフケン</t>
    </rPh>
    <rPh sb="3" eb="4">
      <t>ミン</t>
    </rPh>
    <rPh sb="4" eb="5">
      <t>ゼイ</t>
    </rPh>
    <phoneticPr fontId="2"/>
  </si>
  <si>
    <t>特 別 徴 収 税 額</t>
    <rPh sb="0" eb="1">
      <t>トク</t>
    </rPh>
    <rPh sb="2" eb="3">
      <t>ベツ</t>
    </rPh>
    <rPh sb="4" eb="5">
      <t>チョウ</t>
    </rPh>
    <rPh sb="6" eb="7">
      <t>シュウ</t>
    </rPh>
    <rPh sb="8" eb="9">
      <t>ゼイ</t>
    </rPh>
    <rPh sb="10" eb="11">
      <t>ガク</t>
    </rPh>
    <phoneticPr fontId="2"/>
  </si>
  <si>
    <t>所得税法第201条第1項第1号並びに
地方税法第50条の6第1項第1号及び
第328条の6第1項第1号適用分             .</t>
    <phoneticPr fontId="2"/>
  </si>
  <si>
    <t>所得税法第201条第1項第2号並びに
地方税法第50条の6第1項第2号及び
第328条の6第1項第2号適用分              .</t>
    <phoneticPr fontId="2"/>
  </si>
  <si>
    <t>所得税法第201条第3項並びに地方
税法第50条の6第2項及び第328条
の6第2項適用分                             .</t>
    <phoneticPr fontId="2"/>
  </si>
  <si>
    <t>退職所得控除額</t>
    <phoneticPr fontId="2"/>
  </si>
  <si>
    <t>勤続年数</t>
  </si>
  <si>
    <t>勤続年数</t>
    <phoneticPr fontId="2"/>
  </si>
  <si>
    <t>就職年月日</t>
  </si>
  <si>
    <t>就職年月日</t>
    <phoneticPr fontId="2"/>
  </si>
  <si>
    <t>退職年月日</t>
  </si>
  <si>
    <t>退職年月日</t>
    <phoneticPr fontId="2"/>
  </si>
  <si>
    <t>万円</t>
    <rPh sb="0" eb="2">
      <t>マンエン</t>
    </rPh>
    <phoneticPr fontId="2"/>
  </si>
  <si>
    <t>年</t>
    <rPh sb="0" eb="1">
      <t>ネン</t>
    </rPh>
    <phoneticPr fontId="2"/>
  </si>
  <si>
    <t>（右詰で記載してください。）</t>
    <phoneticPr fontId="2"/>
  </si>
  <si>
    <t>取締役会長</t>
    <rPh sb="0" eb="3">
      <t>トリシマリヤク</t>
    </rPh>
    <rPh sb="3" eb="5">
      <t>カイチョウ</t>
    </rPh>
    <phoneticPr fontId="2"/>
  </si>
  <si>
    <t>専務取締役</t>
    <rPh sb="0" eb="2">
      <t>センム</t>
    </rPh>
    <rPh sb="2" eb="5">
      <t>トリシマリヤク</t>
    </rPh>
    <phoneticPr fontId="2"/>
  </si>
  <si>
    <t>常務取締役</t>
    <rPh sb="0" eb="2">
      <t>ジョウム</t>
    </rPh>
    <rPh sb="2" eb="5">
      <t>トリシマリヤク</t>
    </rPh>
    <phoneticPr fontId="2"/>
  </si>
  <si>
    <t>取締役</t>
    <rPh sb="0" eb="3">
      <t>トリシマリヤク</t>
    </rPh>
    <phoneticPr fontId="2"/>
  </si>
  <si>
    <t>個人番号</t>
    <rPh sb="0" eb="2">
      <t>コジン</t>
    </rPh>
    <phoneticPr fontId="4"/>
  </si>
  <si>
    <t>役職名</t>
    <phoneticPr fontId="2"/>
  </si>
  <si>
    <t>1/1住所</t>
    <rPh sb="3" eb="5">
      <t>ジュウショ</t>
    </rPh>
    <phoneticPr fontId="2"/>
  </si>
  <si>
    <t>上段</t>
  </si>
  <si>
    <t>区分</t>
    <rPh sb="0" eb="2">
      <t>クブン</t>
    </rPh>
    <phoneticPr fontId="2"/>
  </si>
  <si>
    <t>中段</t>
  </si>
  <si>
    <t>【中段】</t>
  </si>
  <si>
    <t>【下段】</t>
  </si>
  <si>
    <t>【上段】</t>
    <phoneticPr fontId="2"/>
  </si>
  <si>
    <t>受給者から「退職所得の受給に関する申告書」の提出がないため、100分の20.42の税率を適用して所得税及び復興特別所得税を源泉徴収する場合に使用します。</t>
    <phoneticPr fontId="2"/>
  </si>
  <si>
    <t>↓</t>
    <phoneticPr fontId="2"/>
  </si>
  <si>
    <t>下段</t>
  </si>
  <si>
    <t>受給者が提出した「退職所得の受給に関する申告書」に、退職した年中に受けた他の退職手当等がない旨の記載がある場合に使用します。</t>
    <phoneticPr fontId="2"/>
  </si>
  <si>
    <t>受給者が提出した「退職所得の受給に関する申告書」に、退職した年中に受けた他の退職手当等がある旨の記載がある場合に使用します。</t>
    <phoneticPr fontId="2"/>
  </si>
  <si>
    <t>退職金太郎</t>
    <rPh sb="0" eb="2">
      <t>タイショク</t>
    </rPh>
    <rPh sb="2" eb="3">
      <t>キン</t>
    </rPh>
    <rPh sb="3" eb="5">
      <t>タロウ</t>
    </rPh>
    <phoneticPr fontId="1"/>
  </si>
  <si>
    <t>退職金次郎</t>
    <rPh sb="3" eb="5">
      <t>ジロウ</t>
    </rPh>
    <phoneticPr fontId="1"/>
  </si>
  <si>
    <t>退職金三郎</t>
    <rPh sb="3" eb="5">
      <t>サブロウ</t>
    </rPh>
    <phoneticPr fontId="1"/>
  </si>
  <si>
    <t>退職金四郎</t>
    <rPh sb="0" eb="2">
      <t>タイショク</t>
    </rPh>
    <rPh sb="2" eb="5">
      <t>キンシロウ</t>
    </rPh>
    <rPh sb="3" eb="5">
      <t>シロウ</t>
    </rPh>
    <phoneticPr fontId="1"/>
  </si>
  <si>
    <t>退職金五郎</t>
    <rPh sb="3" eb="5">
      <t>ゴロウ</t>
    </rPh>
    <phoneticPr fontId="2"/>
  </si>
  <si>
    <t>"tai"のシート見出しをクリックして支払調書を開いて印刷をする。</t>
    <phoneticPr fontId="2"/>
  </si>
  <si>
    <t>内</t>
    <rPh sb="0" eb="1">
      <t>ウチ</t>
    </rPh>
    <phoneticPr fontId="2"/>
  </si>
  <si>
    <t>退職所得控除額</t>
    <phoneticPr fontId="2"/>
  </si>
  <si>
    <t>v4.00</t>
    <phoneticPr fontId="2"/>
  </si>
  <si>
    <t>年分 　退職所得の源泉徴収票・特別徴収票</t>
    <phoneticPr fontId="2"/>
  </si>
  <si>
    <t>退職所得の源泉徴収票・特別徴収票のデータ</t>
    <phoneticPr fontId="2"/>
  </si>
  <si>
    <t>退職所得控除額は一般退職となりますので、障害退職の場合と退職の未払のあるものは手入力でお願いします。</t>
    <rPh sb="8" eb="10">
      <t>イッパン</t>
    </rPh>
    <rPh sb="10" eb="12">
      <t>タイショク</t>
    </rPh>
    <rPh sb="20" eb="22">
      <t>ショウガイ</t>
    </rPh>
    <rPh sb="25" eb="27">
      <t>バアイ</t>
    </rPh>
    <rPh sb="28" eb="30">
      <t>タイショク</t>
    </rPh>
    <rPh sb="31" eb="33">
      <t>ミバライ</t>
    </rPh>
    <rPh sb="40" eb="42">
      <t>ニュウリョク</t>
    </rPh>
    <rPh sb="44" eb="45">
      <t>ネガ</t>
    </rPh>
    <phoneticPr fontId="2"/>
  </si>
  <si>
    <t>印字しない</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</si>
</sst>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 \ 0000\ \ 0000\ \ 0000"/>
    <numFmt numFmtId="177" formatCode="000\-0000"/>
    <numFmt numFmtId="178" formatCode="00000"/>
    <numFmt numFmtId="179" formatCode="00000000"/>
    <numFmt numFmtId="180" formatCode="0\ 0\ 0\ 0\ 0"/>
    <numFmt numFmtId="181" formatCode="0\ 0\ 0\ 0\ 0\ 0\ 0\ 0"/>
    <numFmt numFmtId="182" formatCode="0000\ 0000\ 0000"/>
    <numFmt numFmtId="183" formatCode="0&quot;年&quot;"/>
    <numFmt numFmtId="184" formatCode="[$-411]ggge&quot;年&quot;m&quot;月&quot;d&quot;日&quot;;@"/>
  </numFmts>
  <fonts count="27" x14ac:knownFonts="1">
    <font>
      <sz val="10"/>
      <color theme="1"/>
      <name val="MS UI Gothic"/>
      <family val="3"/>
      <charset val="128"/>
    </font>
    <font>
      <b/>
      <sz val="18"/>
      <color indexed="56"/>
      <name val="ＭＳ Ｐゴシック"/>
      <family val="3"/>
      <charset val="128"/>
    </font>
    <font>
      <sz val="6"/>
      <name val="MS UI Gothic"/>
      <family val="3"/>
      <charset val="128"/>
    </font>
    <font>
      <sz val="9"/>
      <name val="MS UI Gothic"/>
      <family val="3"/>
      <charset val="128"/>
    </font>
    <font>
      <sz val="6"/>
      <name val="ＭＳ Ｐ明朝"/>
      <family val="1"/>
      <charset val="128"/>
    </font>
    <font>
      <b/>
      <sz val="10"/>
      <color indexed="52"/>
      <name val="MS UI Gothic"/>
      <family val="3"/>
      <charset val="128"/>
    </font>
    <font>
      <sz val="10"/>
      <color indexed="10"/>
      <name val="MS UI Gothic"/>
      <family val="3"/>
      <charset val="128"/>
    </font>
    <font>
      <sz val="10"/>
      <name val="ＭＳ 明朝"/>
      <family val="1"/>
      <charset val="128"/>
    </font>
    <font>
      <sz val="9"/>
      <color indexed="10"/>
      <name val="MS UI Gothic"/>
      <family val="3"/>
      <charset val="128"/>
    </font>
    <font>
      <b/>
      <sz val="9"/>
      <color indexed="9"/>
      <name val="MS UI Gothic"/>
      <family val="3"/>
      <charset val="128"/>
    </font>
    <font>
      <sz val="10"/>
      <color theme="1"/>
      <name val="MS UI Gothic"/>
      <family val="3"/>
      <charset val="128"/>
    </font>
    <font>
      <sz val="10"/>
      <color rgb="FFFF0000"/>
      <name val="MS UI Gothic"/>
      <family val="3"/>
      <charset val="128"/>
    </font>
    <font>
      <sz val="12"/>
      <color theme="1"/>
      <name val="MS UI Gothic"/>
      <family val="3"/>
      <charset val="128"/>
    </font>
    <font>
      <sz val="9"/>
      <color theme="1"/>
      <name val="MS UI Gothic"/>
      <family val="3"/>
      <charset val="128"/>
    </font>
    <font>
      <sz val="6"/>
      <color theme="1"/>
      <name val="MS UI Gothic"/>
      <family val="3"/>
      <charset val="128"/>
    </font>
    <font>
      <sz val="16"/>
      <color theme="1"/>
      <name val="MS UI Gothic"/>
      <family val="3"/>
      <charset val="128"/>
    </font>
    <font>
      <sz val="8"/>
      <color theme="1"/>
      <name val="MS UI Gothic"/>
      <family val="3"/>
      <charset val="128"/>
    </font>
    <font>
      <sz val="3"/>
      <color theme="1"/>
      <name val="MS UI Gothic"/>
      <family val="3"/>
      <charset val="128"/>
    </font>
    <font>
      <sz val="11"/>
      <color theme="1"/>
      <name val="MS UI Gothic"/>
      <family val="3"/>
      <charset val="128"/>
    </font>
    <font>
      <b/>
      <sz val="9"/>
      <color rgb="FFFF0000"/>
      <name val="MS UI Gothic"/>
      <family val="3"/>
      <charset val="128"/>
    </font>
    <font>
      <sz val="9"/>
      <color rgb="FFFF0000"/>
      <name val="MS UI Gothic"/>
      <family val="3"/>
      <charset val="128"/>
    </font>
    <font>
      <sz val="7"/>
      <color theme="1"/>
      <name val="MS UI Gothic"/>
      <family val="3"/>
      <charset val="128"/>
    </font>
    <font>
      <sz val="14"/>
      <color theme="1"/>
      <name val="MS UI Gothic"/>
      <family val="3"/>
      <charset val="128"/>
    </font>
    <font>
      <sz val="8"/>
      <name val="MS UI Gothic"/>
      <family val="3"/>
      <charset val="128"/>
    </font>
    <font>
      <sz val="6"/>
      <color theme="0"/>
      <name val="MS UI Gothic"/>
      <family val="3"/>
      <charset val="128"/>
    </font>
    <font>
      <sz val="8"/>
      <color theme="0"/>
      <name val="MS UI Gothic"/>
      <family val="3"/>
      <charset val="128"/>
    </font>
    <font>
      <sz val="9"/>
      <color theme="0" tint="-0.14999847407452621"/>
      <name val="MS UI Gothic"/>
      <family val="3"/>
      <charset val="128"/>
    </font>
  </fonts>
  <fills count="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9"/>
      </right>
      <top style="thin">
        <color indexed="9"/>
      </top>
      <bottom/>
      <diagonal/>
    </border>
    <border>
      <left style="thin">
        <color indexed="9"/>
      </left>
      <right/>
      <top style="thin">
        <color indexed="9"/>
      </top>
      <bottom/>
      <diagonal/>
    </border>
    <border>
      <left/>
      <right style="thin">
        <color indexed="9"/>
      </right>
      <top/>
      <bottom style="thin">
        <color indexed="9"/>
      </bottom>
      <diagonal/>
    </border>
    <border>
      <left style="thin">
        <color indexed="9"/>
      </left>
      <right/>
      <top/>
      <bottom style="thin">
        <color indexed="9"/>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top/>
      <bottom/>
      <diagonal/>
    </border>
    <border>
      <left style="dashed">
        <color indexed="64"/>
      </left>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0" fillId="0" borderId="0" applyFont="0" applyFill="0" applyBorder="0" applyAlignment="0" applyProtection="0">
      <alignment vertical="center"/>
    </xf>
    <xf numFmtId="0" fontId="7" fillId="0" borderId="0"/>
  </cellStyleXfs>
  <cellXfs count="205">
    <xf numFmtId="0" fontId="0" fillId="0" borderId="0" xfId="0">
      <alignment vertical="center"/>
    </xf>
    <xf numFmtId="0" fontId="0" fillId="0" borderId="0" xfId="0" applyFont="1">
      <alignment vertical="center"/>
    </xf>
    <xf numFmtId="176" fontId="3" fillId="2" borderId="1" xfId="0" applyNumberFormat="1" applyFont="1" applyFill="1" applyBorder="1" applyAlignment="1">
      <alignment horizontal="center" vertical="center"/>
    </xf>
    <xf numFmtId="0" fontId="11" fillId="0" borderId="0" xfId="0" applyFont="1" applyAlignment="1">
      <alignment vertical="center"/>
    </xf>
    <xf numFmtId="0" fontId="0"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0" fillId="0" borderId="2" xfId="0" applyFont="1" applyBorder="1" applyAlignment="1">
      <alignment vertical="center"/>
    </xf>
    <xf numFmtId="0" fontId="0" fillId="0" borderId="2" xfId="0" applyFont="1" applyBorder="1" applyAlignment="1">
      <alignment horizontal="left" vertical="center" indent="1"/>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0" xfId="0" applyFont="1" applyFill="1" applyAlignment="1">
      <alignment vertical="center"/>
    </xf>
    <xf numFmtId="0" fontId="0" fillId="0" borderId="6" xfId="0" applyFont="1" applyBorder="1" applyAlignment="1">
      <alignment horizontal="left" vertical="center" indent="1"/>
    </xf>
    <xf numFmtId="0" fontId="16" fillId="0" borderId="5" xfId="0" applyFont="1" applyBorder="1" applyAlignment="1">
      <alignment horizontal="left" vertical="center" wrapText="1" indent="1"/>
    </xf>
    <xf numFmtId="0" fontId="16" fillId="0" borderId="6" xfId="0" applyFont="1" applyBorder="1" applyAlignment="1">
      <alignment horizontal="left" vertical="center" wrapText="1" indent="1"/>
    </xf>
    <xf numFmtId="0" fontId="16" fillId="0" borderId="6" xfId="0" applyFont="1" applyBorder="1" applyAlignment="1">
      <alignment vertical="center"/>
    </xf>
    <xf numFmtId="0" fontId="16" fillId="0" borderId="6" xfId="0" applyFont="1" applyBorder="1" applyAlignment="1">
      <alignment horizontal="left" vertical="center"/>
    </xf>
    <xf numFmtId="0" fontId="16" fillId="0" borderId="6" xfId="0" applyFont="1" applyBorder="1" applyAlignment="1">
      <alignment horizontal="right" vertical="center"/>
    </xf>
    <xf numFmtId="0" fontId="16" fillId="0" borderId="8" xfId="0" applyFont="1" applyBorder="1" applyAlignment="1">
      <alignment horizontal="left" vertical="center"/>
    </xf>
    <xf numFmtId="0" fontId="3" fillId="0" borderId="1" xfId="0" applyFont="1" applyBorder="1" applyAlignment="1">
      <alignment horizontal="center" vertical="center"/>
    </xf>
    <xf numFmtId="0" fontId="0" fillId="0" borderId="0" xfId="0" applyFont="1" applyFill="1" applyAlignment="1">
      <alignment vertical="center"/>
    </xf>
    <xf numFmtId="0" fontId="12" fillId="0" borderId="0" xfId="0" applyFont="1" applyFill="1" applyAlignment="1">
      <alignment vertical="center"/>
    </xf>
    <xf numFmtId="0" fontId="0" fillId="0" borderId="2" xfId="0" applyFont="1" applyFill="1" applyBorder="1" applyAlignment="1">
      <alignment horizontal="left" vertical="center" indent="1"/>
    </xf>
    <xf numFmtId="0" fontId="0" fillId="0" borderId="9" xfId="0" applyFont="1" applyFill="1" applyBorder="1" applyAlignment="1">
      <alignment horizontal="left" vertical="center" indent="1"/>
    </xf>
    <xf numFmtId="0" fontId="3" fillId="0" borderId="11" xfId="0" applyNumberFormat="1" applyFont="1" applyFill="1" applyBorder="1" applyAlignment="1" applyProtection="1">
      <alignment horizontal="center" vertical="center"/>
      <protection hidden="1"/>
    </xf>
    <xf numFmtId="0" fontId="3" fillId="0" borderId="12" xfId="0" applyNumberFormat="1" applyFont="1" applyFill="1" applyBorder="1" applyAlignment="1" applyProtection="1">
      <alignment horizontal="center" vertical="center"/>
      <protection hidden="1"/>
    </xf>
    <xf numFmtId="0" fontId="3" fillId="0" borderId="13" xfId="0" applyNumberFormat="1" applyFont="1" applyFill="1" applyBorder="1" applyAlignment="1" applyProtection="1">
      <alignment horizontal="center" vertical="center"/>
      <protection hidden="1"/>
    </xf>
    <xf numFmtId="0" fontId="3" fillId="0" borderId="9" xfId="0" applyNumberFormat="1" applyFont="1" applyFill="1" applyBorder="1" applyAlignment="1" applyProtection="1">
      <alignment horizontal="center" vertical="center"/>
      <protection hidden="1"/>
    </xf>
    <xf numFmtId="0" fontId="17" fillId="0" borderId="0" xfId="0" applyFont="1" applyFill="1" applyAlignment="1">
      <alignment vertical="center"/>
    </xf>
    <xf numFmtId="0" fontId="3" fillId="0" borderId="1" xfId="0" applyFont="1" applyBorder="1" applyAlignment="1">
      <alignment horizontal="distributed" vertical="center"/>
    </xf>
    <xf numFmtId="177" fontId="13" fillId="0" borderId="10" xfId="0" applyNumberFormat="1" applyFont="1" applyBorder="1" applyAlignment="1">
      <alignment horizontal="center" vertical="center"/>
    </xf>
    <xf numFmtId="177" fontId="13" fillId="0" borderId="2" xfId="0" applyNumberFormat="1" applyFont="1" applyBorder="1" applyAlignment="1">
      <alignment horizontal="center" vertical="center"/>
    </xf>
    <xf numFmtId="178" fontId="3" fillId="2" borderId="1" xfId="0" applyNumberFormat="1" applyFont="1" applyFill="1" applyBorder="1" applyAlignment="1">
      <alignment horizontal="center" vertical="center"/>
    </xf>
    <xf numFmtId="179" fontId="3" fillId="2" borderId="1" xfId="0" applyNumberFormat="1" applyFont="1" applyFill="1" applyBorder="1" applyAlignment="1">
      <alignment horizontal="center" vertical="center"/>
    </xf>
    <xf numFmtId="0" fontId="3" fillId="0" borderId="10" xfId="0" applyFont="1" applyFill="1" applyBorder="1" applyAlignment="1">
      <alignment horizontal="distributed" vertical="center"/>
    </xf>
    <xf numFmtId="0" fontId="3" fillId="0" borderId="1" xfId="0" applyFont="1" applyFill="1" applyBorder="1" applyAlignment="1">
      <alignment horizontal="distributed" vertical="center"/>
    </xf>
    <xf numFmtId="0" fontId="8" fillId="0" borderId="0" xfId="2" applyFont="1" applyAlignment="1">
      <alignment vertical="center"/>
    </xf>
    <xf numFmtId="0" fontId="3" fillId="2" borderId="1" xfId="2" applyFont="1" applyFill="1" applyBorder="1" applyAlignment="1">
      <alignment horizontal="left" vertical="center"/>
    </xf>
    <xf numFmtId="0" fontId="3" fillId="0" borderId="0" xfId="2" applyFont="1" applyAlignment="1">
      <alignment vertical="center"/>
    </xf>
    <xf numFmtId="0" fontId="3" fillId="3" borderId="1" xfId="2" applyFont="1" applyFill="1" applyBorder="1" applyAlignment="1">
      <alignment vertical="center"/>
    </xf>
    <xf numFmtId="0" fontId="3" fillId="0" borderId="0" xfId="2" applyFont="1" applyAlignment="1">
      <alignment horizontal="left" vertical="center"/>
    </xf>
    <xf numFmtId="0" fontId="3" fillId="0" borderId="0" xfId="0" applyFont="1" applyAlignment="1">
      <alignment vertical="center"/>
    </xf>
    <xf numFmtId="0" fontId="13" fillId="0" borderId="0" xfId="0" applyFont="1">
      <alignment vertical="center"/>
    </xf>
    <xf numFmtId="0" fontId="19" fillId="0" borderId="0" xfId="0" applyFont="1" applyAlignment="1">
      <alignment horizontal="right" vertical="center"/>
    </xf>
    <xf numFmtId="0" fontId="19" fillId="5" borderId="1" xfId="0" applyFont="1" applyFill="1" applyBorder="1" applyAlignment="1">
      <alignment horizontal="center" vertical="center"/>
    </xf>
    <xf numFmtId="0" fontId="13" fillId="0" borderId="14" xfId="0" applyFont="1" applyBorder="1" applyAlignment="1">
      <alignment horizontal="center" vertical="center"/>
    </xf>
    <xf numFmtId="0" fontId="19" fillId="6" borderId="1" xfId="0" applyFont="1" applyFill="1" applyBorder="1" applyAlignment="1">
      <alignment horizontal="center" vertical="center"/>
    </xf>
    <xf numFmtId="0" fontId="3" fillId="0" borderId="0" xfId="0" applyFont="1" applyAlignment="1">
      <alignment horizontal="left" vertical="center"/>
    </xf>
    <xf numFmtId="0" fontId="18" fillId="0" borderId="6" xfId="0" applyFont="1" applyBorder="1" applyAlignment="1">
      <alignment horizontal="left" vertical="top"/>
    </xf>
    <xf numFmtId="0" fontId="14" fillId="0" borderId="0" xfId="0" applyFont="1" applyFill="1" applyAlignment="1">
      <alignment vertical="center"/>
    </xf>
    <xf numFmtId="0" fontId="8" fillId="0" borderId="0" xfId="0" applyFont="1" applyAlignment="1">
      <alignment vertical="center"/>
    </xf>
    <xf numFmtId="0" fontId="13" fillId="0" borderId="0" xfId="0" applyFont="1" applyAlignment="1">
      <alignment horizontal="right" vertical="center"/>
    </xf>
    <xf numFmtId="0" fontId="13" fillId="0" borderId="0" xfId="0" applyFont="1" applyFill="1">
      <alignment vertical="center"/>
    </xf>
    <xf numFmtId="0" fontId="13" fillId="4" borderId="1" xfId="0" applyFont="1" applyFill="1" applyBorder="1" applyAlignment="1">
      <alignment horizontal="center" vertical="center"/>
    </xf>
    <xf numFmtId="0" fontId="13" fillId="0" borderId="1" xfId="0" applyFont="1" applyBorder="1" applyAlignment="1">
      <alignment horizontal="distributed" vertical="center"/>
    </xf>
    <xf numFmtId="0" fontId="9" fillId="7" borderId="15" xfId="0" applyFont="1" applyFill="1" applyBorder="1" applyAlignment="1">
      <alignment horizontal="center" vertical="center"/>
    </xf>
    <xf numFmtId="0" fontId="9" fillId="7" borderId="16"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Border="1" applyAlignment="1">
      <alignment horizontal="center" vertical="center"/>
    </xf>
    <xf numFmtId="38" fontId="13" fillId="0" borderId="1" xfId="1" applyFont="1" applyBorder="1" applyAlignment="1">
      <alignment horizontal="center" vertical="center"/>
    </xf>
    <xf numFmtId="0" fontId="13" fillId="0" borderId="0" xfId="0" applyFont="1" applyAlignment="1">
      <alignment horizontal="center" vertical="center"/>
    </xf>
    <xf numFmtId="0" fontId="20" fillId="5" borderId="1" xfId="0" applyFont="1" applyFill="1" applyBorder="1" applyAlignment="1">
      <alignment horizontal="center" vertical="center"/>
    </xf>
    <xf numFmtId="0" fontId="13" fillId="4" borderId="1" xfId="0" applyFont="1" applyFill="1" applyBorder="1">
      <alignment vertical="center"/>
    </xf>
    <xf numFmtId="0" fontId="13" fillId="0" borderId="1" xfId="0" applyFont="1" applyFill="1" applyBorder="1">
      <alignment vertical="center"/>
    </xf>
    <xf numFmtId="0" fontId="13" fillId="0" borderId="1" xfId="0" applyFont="1" applyBorder="1">
      <alignment vertical="center"/>
    </xf>
    <xf numFmtId="38" fontId="13" fillId="0" borderId="1" xfId="0" applyNumberFormat="1" applyFont="1" applyBorder="1">
      <alignment vertical="center"/>
    </xf>
    <xf numFmtId="0" fontId="19" fillId="0" borderId="0" xfId="0" applyFont="1" applyFill="1">
      <alignment vertical="center"/>
    </xf>
    <xf numFmtId="38" fontId="13" fillId="4" borderId="1" xfId="1" applyFont="1" applyFill="1" applyBorder="1">
      <alignment vertical="center"/>
    </xf>
    <xf numFmtId="0" fontId="13" fillId="0" borderId="1" xfId="0" applyFont="1" applyBorder="1" applyAlignment="1">
      <alignment horizontal="center" vertical="center"/>
    </xf>
    <xf numFmtId="38" fontId="13" fillId="0" borderId="2" xfId="1" applyFont="1" applyBorder="1" applyAlignment="1">
      <alignment vertical="center" wrapText="1"/>
    </xf>
    <xf numFmtId="38" fontId="13" fillId="0" borderId="9" xfId="1" applyFont="1" applyBorder="1" applyAlignment="1">
      <alignment vertical="center" wrapText="1"/>
    </xf>
    <xf numFmtId="0" fontId="18" fillId="0" borderId="7" xfId="0" applyFont="1" applyBorder="1" applyAlignment="1">
      <alignment horizontal="left" vertical="center" indent="1"/>
    </xf>
    <xf numFmtId="0" fontId="18" fillId="0" borderId="3" xfId="0" applyFont="1" applyBorder="1" applyAlignment="1">
      <alignment horizontal="left" vertical="center" indent="1"/>
    </xf>
    <xf numFmtId="0" fontId="3" fillId="0" borderId="21" xfId="0" applyNumberFormat="1" applyFont="1" applyFill="1" applyBorder="1" applyAlignment="1" applyProtection="1">
      <alignment horizontal="center" vertical="center"/>
      <protection hidden="1"/>
    </xf>
    <xf numFmtId="0" fontId="3" fillId="0" borderId="19" xfId="0" applyNumberFormat="1" applyFont="1" applyFill="1" applyBorder="1" applyAlignment="1" applyProtection="1">
      <alignment horizontal="center" vertical="center"/>
      <protection hidden="1"/>
    </xf>
    <xf numFmtId="0" fontId="3" fillId="0" borderId="20" xfId="0" applyNumberFormat="1" applyFont="1" applyFill="1" applyBorder="1" applyAlignment="1" applyProtection="1">
      <alignment horizontal="center" vertical="center"/>
      <protection hidden="1"/>
    </xf>
    <xf numFmtId="0" fontId="3" fillId="0" borderId="23" xfId="0" applyNumberFormat="1" applyFont="1" applyFill="1" applyBorder="1" applyAlignment="1" applyProtection="1">
      <alignment horizontal="center" vertical="center"/>
      <protection hidden="1"/>
    </xf>
    <xf numFmtId="0" fontId="3" fillId="0" borderId="24" xfId="0" applyNumberFormat="1" applyFont="1" applyFill="1" applyBorder="1" applyAlignment="1" applyProtection="1">
      <alignment horizontal="center" vertical="center"/>
      <protection hidden="1"/>
    </xf>
    <xf numFmtId="0" fontId="3" fillId="0" borderId="4" xfId="0" applyNumberFormat="1" applyFont="1" applyFill="1" applyBorder="1" applyAlignment="1" applyProtection="1">
      <alignment horizontal="center" vertical="center"/>
      <protection hidden="1"/>
    </xf>
    <xf numFmtId="0" fontId="3" fillId="0" borderId="19" xfId="0" applyNumberFormat="1" applyFont="1" applyFill="1" applyBorder="1" applyAlignment="1" applyProtection="1">
      <alignment horizontal="center" vertical="center"/>
      <protection hidden="1"/>
    </xf>
    <xf numFmtId="0" fontId="3" fillId="0" borderId="21" xfId="0" applyNumberFormat="1" applyFont="1" applyFill="1" applyBorder="1" applyAlignment="1" applyProtection="1">
      <alignment horizontal="center" vertical="center"/>
      <protection hidden="1"/>
    </xf>
    <xf numFmtId="0" fontId="3" fillId="0" borderId="20" xfId="0" applyNumberFormat="1" applyFont="1" applyFill="1" applyBorder="1" applyAlignment="1" applyProtection="1">
      <alignment horizontal="center" vertical="center"/>
      <protection hidden="1"/>
    </xf>
    <xf numFmtId="0" fontId="3" fillId="0" borderId="24" xfId="0" applyNumberFormat="1" applyFont="1" applyFill="1" applyBorder="1" applyAlignment="1" applyProtection="1">
      <alignment horizontal="center" vertical="center"/>
      <protection hidden="1"/>
    </xf>
    <xf numFmtId="0" fontId="3" fillId="0" borderId="23" xfId="0" applyNumberFormat="1" applyFont="1" applyFill="1" applyBorder="1" applyAlignment="1" applyProtection="1">
      <alignment horizontal="center" vertical="center"/>
      <protection hidden="1"/>
    </xf>
    <xf numFmtId="0" fontId="3" fillId="0" borderId="4" xfId="0" applyNumberFormat="1" applyFont="1" applyFill="1" applyBorder="1" applyAlignment="1" applyProtection="1">
      <alignment horizontal="center" vertical="center"/>
      <protection hidden="1"/>
    </xf>
    <xf numFmtId="0" fontId="18" fillId="0" borderId="7" xfId="0" applyFont="1" applyBorder="1" applyAlignment="1">
      <alignment horizontal="left" vertical="center" indent="1"/>
    </xf>
    <xf numFmtId="0" fontId="18" fillId="0" borderId="3" xfId="0" applyFont="1" applyBorder="1" applyAlignment="1">
      <alignment horizontal="left" vertical="center" indent="1"/>
    </xf>
    <xf numFmtId="41" fontId="16" fillId="0" borderId="3" xfId="1" applyNumberFormat="1" applyFont="1" applyFill="1" applyBorder="1" applyAlignment="1">
      <alignment vertical="center"/>
    </xf>
    <xf numFmtId="41" fontId="16" fillId="0" borderId="4" xfId="1" applyNumberFormat="1" applyFont="1" applyFill="1" applyBorder="1" applyAlignment="1">
      <alignment vertical="center"/>
    </xf>
    <xf numFmtId="38" fontId="13" fillId="0" borderId="2" xfId="1" applyFont="1" applyBorder="1" applyAlignment="1">
      <alignment vertical="center" wrapText="1"/>
    </xf>
    <xf numFmtId="38" fontId="13" fillId="0" borderId="9" xfId="1" applyFont="1" applyBorder="1" applyAlignment="1">
      <alignment vertical="center" wrapText="1"/>
    </xf>
    <xf numFmtId="0" fontId="16" fillId="0" borderId="3" xfId="0" applyFont="1" applyBorder="1" applyAlignment="1">
      <alignment vertical="center"/>
    </xf>
    <xf numFmtId="0" fontId="16" fillId="0" borderId="4" xfId="0" applyFont="1" applyBorder="1" applyAlignment="1">
      <alignment vertical="center"/>
    </xf>
    <xf numFmtId="0" fontId="0" fillId="0" borderId="6" xfId="0" applyFont="1" applyBorder="1" applyAlignment="1">
      <alignment vertical="center"/>
    </xf>
    <xf numFmtId="0" fontId="0" fillId="0" borderId="8" xfId="0" applyFont="1" applyBorder="1" applyAlignment="1">
      <alignment vertical="center"/>
    </xf>
    <xf numFmtId="0" fontId="14" fillId="0" borderId="3" xfId="0" applyFont="1" applyBorder="1" applyAlignment="1">
      <alignment horizontal="left" vertical="center"/>
    </xf>
    <xf numFmtId="177" fontId="14" fillId="0" borderId="3" xfId="0" applyNumberFormat="1" applyFont="1" applyBorder="1" applyAlignment="1">
      <alignment horizontal="center" vertical="center"/>
    </xf>
    <xf numFmtId="0" fontId="14" fillId="0" borderId="3" xfId="0" applyFont="1" applyBorder="1" applyAlignment="1">
      <alignment vertical="center"/>
    </xf>
    <xf numFmtId="0" fontId="14" fillId="0" borderId="0" xfId="0" applyFont="1" applyBorder="1" applyAlignment="1">
      <alignment vertical="center"/>
    </xf>
    <xf numFmtId="0" fontId="14" fillId="0" borderId="3" xfId="0" applyFont="1" applyBorder="1" applyAlignment="1">
      <alignment horizontal="left" vertical="center" indent="1"/>
    </xf>
    <xf numFmtId="0" fontId="14" fillId="0" borderId="3" xfId="0" applyFont="1" applyFill="1" applyBorder="1" applyAlignment="1">
      <alignment horizontal="left" vertical="center" indent="1"/>
    </xf>
    <xf numFmtId="0" fontId="14" fillId="0" borderId="4" xfId="0" applyFont="1" applyFill="1" applyBorder="1" applyAlignment="1">
      <alignment horizontal="left" vertical="center" indent="1"/>
    </xf>
    <xf numFmtId="0" fontId="0" fillId="0" borderId="6" xfId="0" applyFont="1" applyBorder="1" applyAlignment="1">
      <alignment vertical="top"/>
    </xf>
    <xf numFmtId="0" fontId="0" fillId="0" borderId="6" xfId="0" applyFont="1" applyBorder="1" applyAlignment="1">
      <alignment horizontal="left" vertical="top"/>
    </xf>
    <xf numFmtId="0" fontId="22" fillId="0" borderId="0" xfId="0" applyFont="1" applyAlignment="1">
      <alignment vertical="center"/>
    </xf>
    <xf numFmtId="0" fontId="21" fillId="0" borderId="2" xfId="0" applyFont="1" applyBorder="1" applyAlignment="1">
      <alignment horizontal="distributed" vertical="center" wrapText="1" indent="1"/>
    </xf>
    <xf numFmtId="0" fontId="14" fillId="0" borderId="2" xfId="0" applyFont="1" applyBorder="1" applyAlignment="1">
      <alignment horizontal="right" vertical="top"/>
    </xf>
    <xf numFmtId="41" fontId="18" fillId="0" borderId="2" xfId="1" applyNumberFormat="1" applyFont="1" applyFill="1" applyBorder="1" applyAlignment="1">
      <alignment vertical="center"/>
    </xf>
    <xf numFmtId="0" fontId="0" fillId="0" borderId="2" xfId="0" applyFont="1" applyBorder="1" applyAlignment="1">
      <alignment horizontal="left" vertical="center"/>
    </xf>
    <xf numFmtId="182" fontId="3" fillId="2" borderId="1" xfId="0" applyNumberFormat="1" applyFont="1" applyFill="1" applyBorder="1" applyAlignment="1">
      <alignment horizontal="center" vertical="center"/>
    </xf>
    <xf numFmtId="183" fontId="13" fillId="4" borderId="1" xfId="1" applyNumberFormat="1" applyFont="1" applyFill="1" applyBorder="1" applyAlignment="1">
      <alignment horizontal="center" vertical="center"/>
    </xf>
    <xf numFmtId="57" fontId="3" fillId="2" borderId="1" xfId="0" applyNumberFormat="1" applyFont="1" applyFill="1" applyBorder="1" applyAlignment="1" applyProtection="1">
      <alignment horizontal="center" vertical="center"/>
    </xf>
    <xf numFmtId="0" fontId="16" fillId="0" borderId="7" xfId="0" applyFont="1" applyBorder="1" applyAlignment="1">
      <alignment horizontal="distributed" vertical="center" wrapText="1" indent="1"/>
    </xf>
    <xf numFmtId="0" fontId="16" fillId="0" borderId="3" xfId="0" applyFont="1" applyBorder="1" applyAlignment="1">
      <alignment horizontal="distributed" vertical="center" wrapText="1" indent="1"/>
    </xf>
    <xf numFmtId="0" fontId="16" fillId="0" borderId="4" xfId="0" applyFont="1" applyBorder="1" applyAlignment="1">
      <alignment horizontal="distributed" vertical="center" wrapText="1" indent="1"/>
    </xf>
    <xf numFmtId="0" fontId="20" fillId="0" borderId="0" xfId="0" applyFont="1" applyAlignment="1">
      <alignment horizontal="center" vertical="center"/>
    </xf>
    <xf numFmtId="41" fontId="16" fillId="0" borderId="7" xfId="1" applyNumberFormat="1" applyFont="1" applyFill="1" applyBorder="1" applyAlignment="1">
      <alignment vertical="center"/>
    </xf>
    <xf numFmtId="41" fontId="24" fillId="0" borderId="7" xfId="1" applyNumberFormat="1" applyFont="1" applyFill="1" applyBorder="1" applyAlignment="1">
      <alignment vertical="center"/>
    </xf>
    <xf numFmtId="41" fontId="25" fillId="0" borderId="7" xfId="1" applyNumberFormat="1" applyFont="1" applyFill="1" applyBorder="1" applyAlignment="1">
      <alignment vertical="center"/>
    </xf>
    <xf numFmtId="0" fontId="26" fillId="0" borderId="0" xfId="0" applyFont="1">
      <alignment vertical="center"/>
    </xf>
    <xf numFmtId="0" fontId="9" fillId="7" borderId="17" xfId="0" applyFont="1" applyFill="1" applyBorder="1" applyAlignment="1">
      <alignment horizontal="center" vertical="center"/>
    </xf>
    <xf numFmtId="0" fontId="9" fillId="7" borderId="18" xfId="0" applyFont="1" applyFill="1" applyBorder="1" applyAlignment="1">
      <alignment horizontal="center" vertical="center"/>
    </xf>
    <xf numFmtId="0" fontId="13" fillId="0" borderId="1" xfId="0" applyFont="1" applyBorder="1" applyAlignment="1">
      <alignment horizontal="center" vertical="center"/>
    </xf>
    <xf numFmtId="0" fontId="13" fillId="4" borderId="10" xfId="0" applyFont="1" applyFill="1" applyBorder="1">
      <alignment vertical="center"/>
    </xf>
    <xf numFmtId="0" fontId="13" fillId="4" borderId="9" xfId="0" applyFont="1" applyFill="1" applyBorder="1">
      <alignment vertical="center"/>
    </xf>
    <xf numFmtId="0" fontId="13" fillId="0" borderId="10" xfId="0" applyFont="1" applyBorder="1" applyAlignment="1">
      <alignment horizontal="distributed" vertical="center" justifyLastLine="1"/>
    </xf>
    <xf numFmtId="0" fontId="13" fillId="0" borderId="2" xfId="0" applyFont="1" applyBorder="1" applyAlignment="1">
      <alignment horizontal="distributed" vertical="center" justifyLastLine="1"/>
    </xf>
    <xf numFmtId="0" fontId="13" fillId="0" borderId="9" xfId="0" applyFont="1" applyBorder="1" applyAlignment="1">
      <alignment horizontal="distributed" vertical="center" justifyLastLine="1"/>
    </xf>
    <xf numFmtId="180" fontId="13" fillId="0" borderId="10" xfId="0" applyNumberFormat="1" applyFont="1" applyBorder="1" applyAlignment="1">
      <alignment horizontal="distributed" vertical="center" indent="1"/>
    </xf>
    <xf numFmtId="180" fontId="13" fillId="0" borderId="2" xfId="0" applyNumberFormat="1" applyFont="1" applyBorder="1" applyAlignment="1">
      <alignment horizontal="distributed" vertical="center" indent="1"/>
    </xf>
    <xf numFmtId="180" fontId="13" fillId="0" borderId="9" xfId="0" applyNumberFormat="1" applyFont="1" applyBorder="1" applyAlignment="1">
      <alignment horizontal="distributed" vertical="center" indent="1"/>
    </xf>
    <xf numFmtId="181" fontId="13" fillId="0" borderId="10" xfId="0" applyNumberFormat="1" applyFont="1" applyFill="1" applyBorder="1" applyAlignment="1">
      <alignment horizontal="distributed" vertical="center" indent="1"/>
    </xf>
    <xf numFmtId="181" fontId="13" fillId="0" borderId="2" xfId="0" applyNumberFormat="1" applyFont="1" applyFill="1" applyBorder="1" applyAlignment="1">
      <alignment horizontal="distributed" vertical="center" indent="1"/>
    </xf>
    <xf numFmtId="181" fontId="13" fillId="0" borderId="9" xfId="0" applyNumberFormat="1" applyFont="1" applyFill="1" applyBorder="1" applyAlignment="1">
      <alignment horizontal="distributed" vertical="center" indent="1"/>
    </xf>
    <xf numFmtId="0" fontId="16" fillId="0" borderId="3" xfId="0" applyFont="1" applyFill="1" applyBorder="1" applyAlignment="1">
      <alignment vertical="center"/>
    </xf>
    <xf numFmtId="0" fontId="16" fillId="0" borderId="10" xfId="0" applyFont="1" applyBorder="1" applyAlignment="1">
      <alignment horizontal="distributed" vertical="center" indent="1"/>
    </xf>
    <xf numFmtId="0" fontId="16" fillId="0" borderId="2" xfId="0" applyFont="1" applyBorder="1" applyAlignment="1">
      <alignment horizontal="distributed" vertical="center" indent="1"/>
    </xf>
    <xf numFmtId="41" fontId="18" fillId="4" borderId="10" xfId="1" applyNumberFormat="1" applyFont="1" applyFill="1" applyBorder="1" applyAlignment="1">
      <alignment vertical="center"/>
    </xf>
    <xf numFmtId="41" fontId="18" fillId="4" borderId="2" xfId="1" applyNumberFormat="1" applyFont="1" applyFill="1" applyBorder="1" applyAlignment="1">
      <alignment vertical="center"/>
    </xf>
    <xf numFmtId="41" fontId="18" fillId="0" borderId="10" xfId="1" applyNumberFormat="1" applyFont="1" applyFill="1" applyBorder="1" applyAlignment="1">
      <alignment vertical="center"/>
    </xf>
    <xf numFmtId="41" fontId="18" fillId="0" borderId="2" xfId="1" applyNumberFormat="1" applyFont="1" applyFill="1" applyBorder="1" applyAlignment="1">
      <alignment vertical="center"/>
    </xf>
    <xf numFmtId="184" fontId="18" fillId="0" borderId="10" xfId="1" applyNumberFormat="1" applyFont="1" applyFill="1" applyBorder="1" applyAlignment="1">
      <alignment horizontal="center" vertical="center"/>
    </xf>
    <xf numFmtId="184" fontId="18" fillId="0" borderId="2" xfId="1" applyNumberFormat="1" applyFont="1" applyFill="1" applyBorder="1" applyAlignment="1">
      <alignment horizontal="center" vertical="center"/>
    </xf>
    <xf numFmtId="184" fontId="18" fillId="0" borderId="9" xfId="1" applyNumberFormat="1" applyFont="1" applyFill="1" applyBorder="1" applyAlignment="1">
      <alignment horizontal="center" vertical="center"/>
    </xf>
    <xf numFmtId="0" fontId="16" fillId="0" borderId="10" xfId="0" applyFont="1" applyBorder="1" applyAlignment="1">
      <alignment vertical="top" wrapText="1"/>
    </xf>
    <xf numFmtId="0" fontId="16" fillId="0" borderId="2" xfId="0" applyFont="1" applyBorder="1" applyAlignment="1">
      <alignment vertical="top" wrapText="1"/>
    </xf>
    <xf numFmtId="38" fontId="13" fillId="0" borderId="2" xfId="1" applyFont="1" applyBorder="1" applyAlignment="1">
      <alignment vertical="center" wrapText="1"/>
    </xf>
    <xf numFmtId="38" fontId="13" fillId="0" borderId="9" xfId="1" applyFont="1" applyBorder="1" applyAlignment="1">
      <alignment vertical="center" wrapText="1"/>
    </xf>
    <xf numFmtId="0" fontId="16" fillId="0" borderId="7" xfId="0" applyFont="1" applyBorder="1" applyAlignment="1">
      <alignment horizontal="distributed" vertical="center" wrapText="1"/>
    </xf>
    <xf numFmtId="0" fontId="16" fillId="0" borderId="3" xfId="0" applyFont="1" applyBorder="1" applyAlignment="1">
      <alignment horizontal="distributed" vertical="center" wrapText="1"/>
    </xf>
    <xf numFmtId="0" fontId="16" fillId="0" borderId="22" xfId="0" applyFont="1" applyBorder="1" applyAlignment="1">
      <alignment horizontal="distributed" vertical="center" wrapText="1"/>
    </xf>
    <xf numFmtId="0" fontId="16" fillId="0" borderId="0" xfId="0" applyFont="1" applyBorder="1" applyAlignment="1">
      <alignment horizontal="distributed" vertical="center" wrapText="1"/>
    </xf>
    <xf numFmtId="0" fontId="16" fillId="0" borderId="5" xfId="0" applyFont="1" applyBorder="1" applyAlignment="1">
      <alignment horizontal="distributed" vertical="center" wrapText="1"/>
    </xf>
    <xf numFmtId="0" fontId="16" fillId="0" borderId="6" xfId="0" applyFont="1" applyBorder="1" applyAlignment="1">
      <alignment horizontal="distributed" vertical="center" wrapText="1"/>
    </xf>
    <xf numFmtId="0" fontId="23" fillId="0" borderId="10" xfId="0" applyFont="1" applyFill="1" applyBorder="1" applyAlignment="1" applyProtection="1">
      <alignment horizontal="distributed" vertical="center" wrapText="1"/>
      <protection hidden="1"/>
    </xf>
    <xf numFmtId="0" fontId="23" fillId="0" borderId="2" xfId="0" applyFont="1" applyFill="1" applyBorder="1" applyAlignment="1" applyProtection="1">
      <alignment horizontal="distributed" vertical="center" wrapText="1"/>
      <protection hidden="1"/>
    </xf>
    <xf numFmtId="0" fontId="23" fillId="0" borderId="9" xfId="0" applyFont="1" applyFill="1" applyBorder="1" applyAlignment="1" applyProtection="1">
      <alignment horizontal="distributed" vertical="center" wrapText="1"/>
      <protection hidden="1"/>
    </xf>
    <xf numFmtId="0" fontId="18" fillId="0" borderId="7" xfId="0" applyFont="1" applyBorder="1" applyAlignment="1">
      <alignment horizontal="left" vertical="center" wrapText="1" indent="1"/>
    </xf>
    <xf numFmtId="0" fontId="18" fillId="0" borderId="3" xfId="0" applyFont="1" applyBorder="1" applyAlignment="1">
      <alignment horizontal="left" vertical="center" wrapText="1" indent="1"/>
    </xf>
    <xf numFmtId="0" fontId="18" fillId="0" borderId="4" xfId="0" applyFont="1" applyBorder="1" applyAlignment="1">
      <alignment horizontal="left" vertical="center" wrapText="1" indent="1"/>
    </xf>
    <xf numFmtId="0" fontId="21" fillId="0" borderId="7" xfId="0" applyFont="1" applyBorder="1" applyAlignment="1">
      <alignment horizontal="distributed" vertical="center" wrapText="1"/>
    </xf>
    <xf numFmtId="0" fontId="21" fillId="0" borderId="3" xfId="0" applyFont="1" applyBorder="1" applyAlignment="1">
      <alignment horizontal="distributed" vertical="center" wrapText="1"/>
    </xf>
    <xf numFmtId="0" fontId="21" fillId="0" borderId="4" xfId="0" applyFont="1" applyBorder="1" applyAlignment="1">
      <alignment horizontal="distributed" vertical="center" wrapText="1"/>
    </xf>
    <xf numFmtId="0" fontId="21" fillId="0" borderId="5" xfId="0" applyFont="1" applyBorder="1" applyAlignment="1">
      <alignment horizontal="distributed" vertical="center" wrapText="1"/>
    </xf>
    <xf numFmtId="0" fontId="21" fillId="0" borderId="6" xfId="0" applyFont="1" applyBorder="1" applyAlignment="1">
      <alignment horizontal="distributed" vertical="center" wrapText="1"/>
    </xf>
    <xf numFmtId="0" fontId="21" fillId="0" borderId="8" xfId="0" applyFont="1" applyBorder="1" applyAlignment="1">
      <alignment horizontal="distributed" vertical="center" wrapText="1"/>
    </xf>
    <xf numFmtId="41" fontId="16" fillId="4" borderId="3" xfId="1" applyNumberFormat="1" applyFont="1" applyFill="1" applyBorder="1" applyAlignment="1">
      <alignment vertical="center" wrapText="1"/>
    </xf>
    <xf numFmtId="41" fontId="16" fillId="4" borderId="4" xfId="1" applyNumberFormat="1" applyFont="1" applyFill="1" applyBorder="1" applyAlignment="1">
      <alignment vertical="center" wrapText="1"/>
    </xf>
    <xf numFmtId="41" fontId="18" fillId="0" borderId="5" xfId="1" applyNumberFormat="1" applyFont="1" applyFill="1" applyBorder="1" applyAlignment="1">
      <alignment vertical="center"/>
    </xf>
    <xf numFmtId="41" fontId="18" fillId="0" borderId="6" xfId="1" applyNumberFormat="1" applyFont="1" applyFill="1" applyBorder="1" applyAlignment="1">
      <alignment vertical="center"/>
    </xf>
    <xf numFmtId="41" fontId="18" fillId="0" borderId="8" xfId="1" applyNumberFormat="1" applyFont="1" applyFill="1" applyBorder="1" applyAlignment="1">
      <alignment vertical="center"/>
    </xf>
    <xf numFmtId="41" fontId="18" fillId="0" borderId="14" xfId="1" applyNumberFormat="1" applyFont="1" applyFill="1" applyBorder="1" applyAlignment="1">
      <alignment vertical="center"/>
    </xf>
    <xf numFmtId="0" fontId="16" fillId="0" borderId="1" xfId="0" applyFont="1" applyBorder="1" applyAlignment="1">
      <alignment horizontal="distributed" vertical="center" wrapText="1" indent="2"/>
    </xf>
    <xf numFmtId="0" fontId="16" fillId="0" borderId="7" xfId="0" applyFont="1" applyBorder="1" applyAlignment="1">
      <alignment horizontal="distributed" vertical="center" wrapText="1" indent="1"/>
    </xf>
    <xf numFmtId="0" fontId="16" fillId="0" borderId="3" xfId="0" applyFont="1" applyBorder="1" applyAlignment="1">
      <alignment horizontal="distributed" vertical="center" wrapText="1" indent="1"/>
    </xf>
    <xf numFmtId="0" fontId="16" fillId="0" borderId="4" xfId="0" applyFont="1" applyBorder="1" applyAlignment="1">
      <alignment horizontal="distributed" vertical="center" wrapText="1" indent="1"/>
    </xf>
    <xf numFmtId="0" fontId="16" fillId="0" borderId="5" xfId="0" applyFont="1" applyBorder="1" applyAlignment="1">
      <alignment horizontal="distributed" vertical="center" wrapText="1" indent="1"/>
    </xf>
    <xf numFmtId="0" fontId="16" fillId="0" borderId="6" xfId="0" applyFont="1" applyBorder="1" applyAlignment="1">
      <alignment horizontal="distributed" vertical="center" wrapText="1" indent="1"/>
    </xf>
    <xf numFmtId="0" fontId="16" fillId="0" borderId="8" xfId="0" applyFont="1" applyBorder="1" applyAlignment="1">
      <alignment horizontal="distributed" vertical="center" wrapText="1" indent="1"/>
    </xf>
    <xf numFmtId="0" fontId="16" fillId="0" borderId="10" xfId="0" applyFont="1" applyFill="1" applyBorder="1" applyAlignment="1">
      <alignment horizontal="distributed" vertical="center" wrapText="1" indent="2"/>
    </xf>
    <xf numFmtId="0" fontId="16" fillId="0" borderId="2" xfId="0" applyFont="1" applyFill="1" applyBorder="1" applyAlignment="1">
      <alignment horizontal="distributed" vertical="center" wrapText="1" indent="2"/>
    </xf>
    <xf numFmtId="0" fontId="16" fillId="0" borderId="9" xfId="0" applyFont="1" applyFill="1" applyBorder="1" applyAlignment="1">
      <alignment horizontal="distributed" vertical="center" wrapText="1" indent="2"/>
    </xf>
    <xf numFmtId="0" fontId="16" fillId="0" borderId="10" xfId="0" applyFont="1" applyBorder="1" applyAlignment="1">
      <alignment horizontal="distributed" vertical="center" wrapText="1" indent="1"/>
    </xf>
    <xf numFmtId="0" fontId="16" fillId="0" borderId="2" xfId="0" applyFont="1" applyBorder="1" applyAlignment="1">
      <alignment horizontal="distributed" vertical="center" wrapText="1" indent="1"/>
    </xf>
    <xf numFmtId="0" fontId="16" fillId="0" borderId="9" xfId="0" applyFont="1" applyBorder="1" applyAlignment="1">
      <alignment horizontal="distributed" vertical="center" wrapText="1" indent="1"/>
    </xf>
    <xf numFmtId="0" fontId="16" fillId="0" borderId="1" xfId="0" applyFont="1" applyBorder="1" applyAlignment="1">
      <alignment horizontal="distributed" vertical="center" wrapText="1"/>
    </xf>
    <xf numFmtId="0" fontId="12" fillId="0" borderId="25" xfId="0" applyFont="1" applyBorder="1" applyAlignment="1">
      <alignment vertical="center"/>
    </xf>
    <xf numFmtId="0" fontId="12" fillId="0" borderId="26" xfId="0" applyFont="1" applyBorder="1" applyAlignment="1">
      <alignment vertical="center"/>
    </xf>
    <xf numFmtId="0" fontId="12" fillId="0" borderId="27" xfId="0" applyFont="1" applyBorder="1" applyAlignment="1">
      <alignment vertical="center"/>
    </xf>
    <xf numFmtId="0" fontId="16" fillId="0" borderId="2" xfId="0" applyFont="1" applyBorder="1" applyAlignment="1">
      <alignment horizontal="distributed" vertical="center" wrapText="1"/>
    </xf>
    <xf numFmtId="0" fontId="21" fillId="0" borderId="2" xfId="0" applyFont="1" applyBorder="1" applyAlignment="1">
      <alignment horizontal="distributed" vertical="center" wrapText="1"/>
    </xf>
    <xf numFmtId="0" fontId="21" fillId="0" borderId="9" xfId="0" applyFont="1" applyBorder="1" applyAlignment="1">
      <alignment horizontal="distributed" vertical="center" wrapText="1"/>
    </xf>
    <xf numFmtId="0" fontId="16" fillId="0" borderId="4" xfId="0" applyFont="1" applyBorder="1" applyAlignment="1">
      <alignment horizontal="distributed" vertical="center" wrapText="1"/>
    </xf>
    <xf numFmtId="0" fontId="16" fillId="0" borderId="8" xfId="0" applyFont="1" applyBorder="1" applyAlignment="1">
      <alignment horizontal="distributed" vertical="center" wrapText="1"/>
    </xf>
    <xf numFmtId="0" fontId="14" fillId="0" borderId="7" xfId="0" applyFont="1" applyBorder="1" applyAlignment="1">
      <alignment vertical="top"/>
    </xf>
    <xf numFmtId="0" fontId="14" fillId="0" borderId="3" xfId="0" applyFont="1" applyBorder="1" applyAlignment="1">
      <alignment vertical="top"/>
    </xf>
    <xf numFmtId="0" fontId="13" fillId="0" borderId="5" xfId="0" applyFont="1" applyBorder="1" applyAlignment="1">
      <alignment horizontal="right" vertical="top" shrinkToFit="1"/>
    </xf>
    <xf numFmtId="0" fontId="13" fillId="0" borderId="6" xfId="0" applyFont="1" applyBorder="1" applyAlignment="1">
      <alignment horizontal="right" vertical="top" shrinkToFit="1"/>
    </xf>
    <xf numFmtId="0" fontId="16" fillId="0" borderId="1" xfId="0" applyFont="1" applyBorder="1" applyAlignment="1">
      <alignment horizontal="distributed" vertical="center" indent="1"/>
    </xf>
    <xf numFmtId="0" fontId="12" fillId="0" borderId="0" xfId="0" applyFont="1" applyAlignment="1">
      <alignment horizontal="center" vertical="center"/>
    </xf>
    <xf numFmtId="0" fontId="16" fillId="0" borderId="10" xfId="0" applyFont="1" applyBorder="1" applyAlignment="1">
      <alignment horizontal="distributed" vertical="center" wrapText="1"/>
    </xf>
    <xf numFmtId="0" fontId="16" fillId="0" borderId="1" xfId="0" applyFont="1" applyBorder="1" applyAlignment="1">
      <alignment horizontal="distributed" vertical="center"/>
    </xf>
  </cellXfs>
  <cellStyles count="3">
    <cellStyle name="桁区切り" xfId="1" builtinId="6"/>
    <cellStyle name="標準" xfId="0" builtinId="0"/>
    <cellStyle name="標準_神田P報酬減額"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LD">
      <a:dk1>
        <a:sysClr val="windowText" lastClr="000000"/>
      </a:dk1>
      <a:lt1>
        <a:sysClr val="window" lastClr="FFFFFF"/>
      </a:lt1>
      <a:dk2>
        <a:srgbClr val="575F6D"/>
      </a:dk2>
      <a:lt2>
        <a:srgbClr val="FFF39D"/>
      </a:lt2>
      <a:accent1>
        <a:srgbClr val="FF99CC"/>
      </a:accent1>
      <a:accent2>
        <a:srgbClr val="FFCC99"/>
      </a:accent2>
      <a:accent3>
        <a:srgbClr val="FFFF99"/>
      </a:accent3>
      <a:accent4>
        <a:srgbClr val="CCFFCC"/>
      </a:accent4>
      <a:accent5>
        <a:srgbClr val="CCFFFF"/>
      </a:accent5>
      <a:accent6>
        <a:srgbClr val="CC99FF"/>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42"/>
  <sheetViews>
    <sheetView tabSelected="1" workbookViewId="0">
      <selection activeCell="B8" sqref="B8"/>
    </sheetView>
  </sheetViews>
  <sheetFormatPr defaultRowHeight="12" x14ac:dyDescent="0.15"/>
  <cols>
    <col min="1" max="1" width="6" style="55" customWidth="1"/>
    <col min="2" max="2" width="12.88671875" style="45" customWidth="1"/>
    <col min="3" max="3" width="17.21875" style="45" customWidth="1"/>
    <col min="4" max="4" width="24.109375" style="45" customWidth="1"/>
    <col min="5" max="5" width="7.33203125" style="45" bestFit="1" customWidth="1"/>
    <col min="6" max="6" width="13.5546875" style="45" customWidth="1"/>
    <col min="7" max="7" width="7" style="45" customWidth="1"/>
    <col min="8" max="11" width="10.6640625" style="45" customWidth="1"/>
    <col min="12" max="12" width="8" style="1" bestFit="1" customWidth="1"/>
    <col min="13" max="14" width="9.6640625" style="45" bestFit="1" customWidth="1"/>
    <col min="15" max="15" width="5.5546875" style="45" bestFit="1" customWidth="1"/>
    <col min="16" max="16384" width="8.88671875" style="45"/>
  </cols>
  <sheetData>
    <row r="1" spans="1:15" x14ac:dyDescent="0.15">
      <c r="A1" s="69" t="s">
        <v>55</v>
      </c>
      <c r="O1" s="54" t="s">
        <v>111</v>
      </c>
    </row>
    <row r="2" spans="1:15" x14ac:dyDescent="0.15">
      <c r="A2" s="69" t="s">
        <v>56</v>
      </c>
      <c r="F2" s="53" t="s">
        <v>39</v>
      </c>
      <c r="G2" s="53"/>
      <c r="I2" s="9"/>
      <c r="J2" s="9"/>
    </row>
    <row r="3" spans="1:15" ht="12" customHeight="1" x14ac:dyDescent="0.15">
      <c r="A3" s="40"/>
      <c r="B3" s="41" t="s">
        <v>44</v>
      </c>
      <c r="F3" s="39" t="s">
        <v>40</v>
      </c>
      <c r="G3" s="39"/>
    </row>
    <row r="4" spans="1:15" x14ac:dyDescent="0.15">
      <c r="A4" s="42"/>
      <c r="B4" s="43" t="s">
        <v>45</v>
      </c>
      <c r="F4" s="53" t="s">
        <v>53</v>
      </c>
      <c r="G4" s="53"/>
      <c r="I4" s="9"/>
      <c r="J4" s="9"/>
      <c r="M4" s="44"/>
    </row>
    <row r="5" spans="1:15" x14ac:dyDescent="0.15">
      <c r="A5" s="43"/>
      <c r="B5" s="43"/>
      <c r="F5" s="53" t="s">
        <v>54</v>
      </c>
      <c r="G5" s="53"/>
      <c r="I5" s="9"/>
      <c r="J5" s="9"/>
      <c r="M5" s="44"/>
    </row>
    <row r="6" spans="1:15" ht="10.8" x14ac:dyDescent="0.15">
      <c r="A6" s="43"/>
      <c r="B6" s="43"/>
      <c r="E6" s="53"/>
      <c r="H6" s="9"/>
      <c r="I6" s="9"/>
      <c r="L6" s="44"/>
    </row>
    <row r="7" spans="1:15" ht="10.8" x14ac:dyDescent="0.15">
      <c r="E7" s="53"/>
      <c r="H7" s="45" t="s">
        <v>57</v>
      </c>
      <c r="L7" s="44"/>
    </row>
    <row r="8" spans="1:15" ht="10.8" x14ac:dyDescent="0.15">
      <c r="A8" s="54" t="s">
        <v>6</v>
      </c>
      <c r="B8" s="56">
        <v>30</v>
      </c>
      <c r="C8" s="45" t="s">
        <v>3</v>
      </c>
      <c r="E8" s="53"/>
      <c r="H8" s="45" t="s">
        <v>108</v>
      </c>
      <c r="L8" s="44"/>
    </row>
    <row r="9" spans="1:15" ht="10.8" x14ac:dyDescent="0.15">
      <c r="A9" s="45" t="s">
        <v>51</v>
      </c>
      <c r="H9" s="45" t="s">
        <v>49</v>
      </c>
      <c r="L9" s="45"/>
    </row>
    <row r="10" spans="1:15" ht="10.8" x14ac:dyDescent="0.15">
      <c r="A10" s="125" t="s">
        <v>1</v>
      </c>
      <c r="B10" s="57" t="s">
        <v>2</v>
      </c>
      <c r="C10" s="126" t="s">
        <v>31</v>
      </c>
      <c r="D10" s="127"/>
      <c r="H10" s="123" t="s">
        <v>46</v>
      </c>
      <c r="I10" s="124"/>
      <c r="L10" s="45"/>
    </row>
    <row r="11" spans="1:15" ht="10.8" x14ac:dyDescent="0.15">
      <c r="A11" s="125"/>
      <c r="B11" s="57" t="s">
        <v>4</v>
      </c>
      <c r="C11" s="126" t="s">
        <v>24</v>
      </c>
      <c r="D11" s="127"/>
      <c r="H11" s="58" t="s">
        <v>47</v>
      </c>
      <c r="I11" s="59" t="s">
        <v>48</v>
      </c>
      <c r="L11" s="45"/>
    </row>
    <row r="12" spans="1:15" ht="12" customHeight="1" x14ac:dyDescent="0.15">
      <c r="A12" s="125"/>
      <c r="B12" s="57" t="s">
        <v>5</v>
      </c>
      <c r="C12" s="56" t="s">
        <v>23</v>
      </c>
      <c r="G12" s="46" t="s">
        <v>50</v>
      </c>
      <c r="H12" s="47">
        <v>1</v>
      </c>
      <c r="I12" s="48">
        <f>+H13+1</f>
        <v>3</v>
      </c>
      <c r="L12" s="45"/>
    </row>
    <row r="13" spans="1:15" ht="10.8" x14ac:dyDescent="0.15">
      <c r="A13" s="125"/>
      <c r="B13" s="32" t="s">
        <v>14</v>
      </c>
      <c r="C13" s="2">
        <v>1234567890123</v>
      </c>
      <c r="G13" s="54"/>
      <c r="H13" s="48">
        <f>+H12+1</f>
        <v>2</v>
      </c>
      <c r="I13" s="48">
        <f>+I12+1</f>
        <v>4</v>
      </c>
      <c r="L13" s="45"/>
    </row>
    <row r="14" spans="1:15" ht="10.8" x14ac:dyDescent="0.15">
      <c r="A14" s="125" t="s">
        <v>7</v>
      </c>
      <c r="B14" s="37" t="s">
        <v>37</v>
      </c>
      <c r="C14" s="35">
        <v>54321</v>
      </c>
      <c r="G14" s="54"/>
      <c r="H14" s="122" t="str">
        <f>IF(H15="印字する","","■")</f>
        <v>■</v>
      </c>
      <c r="L14" s="45"/>
    </row>
    <row r="15" spans="1:15" ht="10.8" x14ac:dyDescent="0.15">
      <c r="A15" s="125"/>
      <c r="B15" s="38" t="s">
        <v>38</v>
      </c>
      <c r="C15" s="36">
        <v>87654321</v>
      </c>
      <c r="G15" s="46" t="s">
        <v>22</v>
      </c>
      <c r="H15" s="49" t="s">
        <v>115</v>
      </c>
      <c r="I15" s="50" t="s">
        <v>52</v>
      </c>
      <c r="L15" s="45"/>
    </row>
    <row r="16" spans="1:15" ht="10.8" x14ac:dyDescent="0.15">
      <c r="A16" s="45"/>
      <c r="L16" s="45"/>
    </row>
    <row r="17" spans="1:15" ht="10.8" x14ac:dyDescent="0.15">
      <c r="A17" s="45"/>
      <c r="G17" s="118" t="s">
        <v>97</v>
      </c>
      <c r="H17" s="45" t="s">
        <v>101</v>
      </c>
      <c r="L17" s="45"/>
    </row>
    <row r="18" spans="1:15" ht="10.8" x14ac:dyDescent="0.15">
      <c r="A18" s="45"/>
      <c r="G18" s="118" t="s">
        <v>95</v>
      </c>
      <c r="H18" s="45" t="s">
        <v>102</v>
      </c>
      <c r="L18" s="45"/>
    </row>
    <row r="19" spans="1:15" ht="10.8" x14ac:dyDescent="0.15">
      <c r="A19" s="45"/>
      <c r="G19" s="118" t="s">
        <v>96</v>
      </c>
      <c r="H19" s="45" t="s">
        <v>98</v>
      </c>
      <c r="L19" s="45"/>
    </row>
    <row r="20" spans="1:15" ht="10.8" x14ac:dyDescent="0.15">
      <c r="A20" s="55" t="s">
        <v>113</v>
      </c>
      <c r="G20" s="63" t="s">
        <v>99</v>
      </c>
      <c r="L20" s="45"/>
    </row>
    <row r="21" spans="1:15" s="63" customFormat="1" ht="10.8" x14ac:dyDescent="0.15">
      <c r="A21" s="60" t="s">
        <v>30</v>
      </c>
      <c r="B21" s="61" t="s">
        <v>9</v>
      </c>
      <c r="C21" s="22" t="s">
        <v>89</v>
      </c>
      <c r="D21" s="61" t="s">
        <v>10</v>
      </c>
      <c r="E21" s="60" t="s">
        <v>91</v>
      </c>
      <c r="F21" s="61" t="s">
        <v>90</v>
      </c>
      <c r="G21" s="71" t="s">
        <v>93</v>
      </c>
      <c r="H21" s="62" t="s">
        <v>64</v>
      </c>
      <c r="I21" s="62" t="s">
        <v>66</v>
      </c>
      <c r="J21" s="61" t="s">
        <v>67</v>
      </c>
      <c r="K21" s="61" t="s">
        <v>69</v>
      </c>
      <c r="L21" s="71" t="s">
        <v>76</v>
      </c>
      <c r="M21" s="71" t="s">
        <v>78</v>
      </c>
      <c r="N21" s="71" t="s">
        <v>80</v>
      </c>
      <c r="O21" s="71" t="s">
        <v>21</v>
      </c>
    </row>
    <row r="22" spans="1:15" ht="10.8" x14ac:dyDescent="0.15">
      <c r="A22" s="64">
        <v>1</v>
      </c>
      <c r="B22" s="65" t="s">
        <v>103</v>
      </c>
      <c r="C22" s="112">
        <v>12345678901</v>
      </c>
      <c r="D22" s="65" t="s">
        <v>25</v>
      </c>
      <c r="E22" s="65" t="s">
        <v>62</v>
      </c>
      <c r="F22" s="65" t="s">
        <v>63</v>
      </c>
      <c r="G22" s="49" t="s">
        <v>92</v>
      </c>
      <c r="H22" s="70">
        <v>50000000</v>
      </c>
      <c r="I22" s="70">
        <v>5555555</v>
      </c>
      <c r="J22" s="70">
        <v>555555</v>
      </c>
      <c r="K22" s="70">
        <v>55555</v>
      </c>
      <c r="L22" s="113">
        <v>21</v>
      </c>
      <c r="M22" s="114">
        <v>32509</v>
      </c>
      <c r="N22" s="114">
        <v>42547</v>
      </c>
      <c r="O22" s="70" t="s">
        <v>32</v>
      </c>
    </row>
    <row r="23" spans="1:15" ht="10.8" x14ac:dyDescent="0.15">
      <c r="A23" s="60">
        <v>2</v>
      </c>
      <c r="B23" s="65" t="s">
        <v>104</v>
      </c>
      <c r="C23" s="112">
        <f>+C22+111111111111</f>
        <v>123456790012</v>
      </c>
      <c r="D23" s="65" t="s">
        <v>26</v>
      </c>
      <c r="E23" s="65" t="s">
        <v>62</v>
      </c>
      <c r="F23" s="65" t="s">
        <v>85</v>
      </c>
      <c r="G23" s="49" t="s">
        <v>94</v>
      </c>
      <c r="H23" s="70">
        <v>40000000</v>
      </c>
      <c r="I23" s="70">
        <v>4444444</v>
      </c>
      <c r="J23" s="70">
        <v>444444</v>
      </c>
      <c r="K23" s="70">
        <v>44444</v>
      </c>
      <c r="L23" s="113">
        <v>20</v>
      </c>
      <c r="M23" s="114">
        <v>32906</v>
      </c>
      <c r="N23" s="114">
        <v>42548</v>
      </c>
      <c r="O23" s="70" t="s">
        <v>33</v>
      </c>
    </row>
    <row r="24" spans="1:15" ht="10.8" x14ac:dyDescent="0.15">
      <c r="A24" s="60">
        <v>3</v>
      </c>
      <c r="B24" s="65" t="s">
        <v>105</v>
      </c>
      <c r="C24" s="112">
        <f t="shared" ref="C24:C26" si="0">+C23+111111111111</f>
        <v>234567901123</v>
      </c>
      <c r="D24" s="65" t="s">
        <v>27</v>
      </c>
      <c r="E24" s="65" t="s">
        <v>62</v>
      </c>
      <c r="F24" s="65" t="s">
        <v>86</v>
      </c>
      <c r="G24" s="49" t="s">
        <v>100</v>
      </c>
      <c r="H24" s="70">
        <v>30000000</v>
      </c>
      <c r="I24" s="70">
        <v>3333333</v>
      </c>
      <c r="J24" s="70">
        <v>333333</v>
      </c>
      <c r="K24" s="70">
        <v>33333</v>
      </c>
      <c r="L24" s="113">
        <v>33</v>
      </c>
      <c r="M24" s="114">
        <v>33300</v>
      </c>
      <c r="N24" s="114">
        <v>42549</v>
      </c>
      <c r="O24" s="70" t="s">
        <v>34</v>
      </c>
    </row>
    <row r="25" spans="1:15" ht="10.8" x14ac:dyDescent="0.15">
      <c r="A25" s="60">
        <v>4</v>
      </c>
      <c r="B25" s="65" t="s">
        <v>106</v>
      </c>
      <c r="C25" s="112">
        <f t="shared" si="0"/>
        <v>345679012234</v>
      </c>
      <c r="D25" s="65" t="s">
        <v>28</v>
      </c>
      <c r="E25" s="65" t="s">
        <v>62</v>
      </c>
      <c r="F25" s="65" t="s">
        <v>87</v>
      </c>
      <c r="G25" s="49" t="s">
        <v>92</v>
      </c>
      <c r="H25" s="70">
        <v>20000000</v>
      </c>
      <c r="I25" s="70">
        <v>2222222</v>
      </c>
      <c r="J25" s="70">
        <v>222222</v>
      </c>
      <c r="K25" s="70">
        <v>22222</v>
      </c>
      <c r="L25" s="113">
        <v>22</v>
      </c>
      <c r="M25" s="114">
        <v>33698</v>
      </c>
      <c r="N25" s="114">
        <v>42550</v>
      </c>
      <c r="O25" s="70" t="s">
        <v>35</v>
      </c>
    </row>
    <row r="26" spans="1:15" ht="10.8" x14ac:dyDescent="0.15">
      <c r="A26" s="64">
        <v>5</v>
      </c>
      <c r="B26" s="65" t="s">
        <v>107</v>
      </c>
      <c r="C26" s="112">
        <f t="shared" si="0"/>
        <v>456790123345</v>
      </c>
      <c r="D26" s="65" t="s">
        <v>29</v>
      </c>
      <c r="E26" s="65" t="s">
        <v>62</v>
      </c>
      <c r="F26" s="65" t="s">
        <v>88</v>
      </c>
      <c r="G26" s="49" t="s">
        <v>94</v>
      </c>
      <c r="H26" s="70">
        <v>10000000</v>
      </c>
      <c r="I26" s="70">
        <v>1111111</v>
      </c>
      <c r="J26" s="70">
        <v>111111</v>
      </c>
      <c r="K26" s="70">
        <v>11111</v>
      </c>
      <c r="L26" s="113">
        <v>11</v>
      </c>
      <c r="M26" s="114">
        <v>34094</v>
      </c>
      <c r="N26" s="114">
        <v>42551</v>
      </c>
      <c r="O26" s="70" t="s">
        <v>36</v>
      </c>
    </row>
    <row r="27" spans="1:15" ht="10.8" x14ac:dyDescent="0.15">
      <c r="A27" s="60">
        <v>6</v>
      </c>
      <c r="B27" s="65"/>
      <c r="C27" s="112"/>
      <c r="D27" s="65"/>
      <c r="E27" s="65"/>
      <c r="F27" s="65"/>
      <c r="G27" s="49"/>
      <c r="H27" s="70"/>
      <c r="I27" s="70"/>
      <c r="J27" s="70"/>
      <c r="K27" s="70"/>
      <c r="L27" s="113"/>
      <c r="M27" s="114"/>
      <c r="N27" s="114"/>
      <c r="O27" s="70"/>
    </row>
    <row r="28" spans="1:15" ht="10.8" x14ac:dyDescent="0.15">
      <c r="A28" s="60">
        <v>7</v>
      </c>
      <c r="B28" s="65"/>
      <c r="C28" s="112"/>
      <c r="D28" s="65"/>
      <c r="E28" s="65"/>
      <c r="F28" s="65"/>
      <c r="G28" s="49"/>
      <c r="H28" s="70"/>
      <c r="I28" s="70"/>
      <c r="J28" s="70"/>
      <c r="K28" s="70"/>
      <c r="L28" s="113"/>
      <c r="M28" s="114"/>
      <c r="N28" s="114"/>
      <c r="O28" s="70"/>
    </row>
    <row r="29" spans="1:15" ht="10.8" x14ac:dyDescent="0.15">
      <c r="A29" s="60">
        <v>8</v>
      </c>
      <c r="B29" s="65"/>
      <c r="C29" s="112"/>
      <c r="D29" s="65"/>
      <c r="E29" s="65"/>
      <c r="F29" s="65"/>
      <c r="G29" s="49"/>
      <c r="H29" s="70"/>
      <c r="I29" s="70"/>
      <c r="J29" s="70"/>
      <c r="K29" s="70"/>
      <c r="L29" s="113"/>
      <c r="M29" s="114"/>
      <c r="N29" s="114"/>
      <c r="O29" s="70"/>
    </row>
    <row r="30" spans="1:15" ht="10.8" x14ac:dyDescent="0.15">
      <c r="A30" s="64">
        <v>9</v>
      </c>
      <c r="B30" s="65"/>
      <c r="C30" s="112"/>
      <c r="D30" s="65"/>
      <c r="E30" s="65"/>
      <c r="F30" s="65"/>
      <c r="G30" s="49"/>
      <c r="H30" s="70"/>
      <c r="I30" s="70"/>
      <c r="J30" s="70"/>
      <c r="K30" s="70"/>
      <c r="L30" s="113"/>
      <c r="M30" s="114"/>
      <c r="N30" s="114"/>
      <c r="O30" s="70"/>
    </row>
    <row r="31" spans="1:15" ht="10.8" x14ac:dyDescent="0.15">
      <c r="A31" s="60">
        <v>10</v>
      </c>
      <c r="B31" s="65"/>
      <c r="C31" s="112"/>
      <c r="D31" s="65"/>
      <c r="E31" s="65"/>
      <c r="F31" s="65"/>
      <c r="G31" s="49"/>
      <c r="H31" s="70"/>
      <c r="I31" s="70"/>
      <c r="J31" s="70"/>
      <c r="K31" s="70"/>
      <c r="L31" s="113"/>
      <c r="M31" s="114"/>
      <c r="N31" s="114"/>
      <c r="O31" s="70"/>
    </row>
    <row r="32" spans="1:15" ht="10.8" x14ac:dyDescent="0.15">
      <c r="A32" s="60">
        <v>11</v>
      </c>
      <c r="B32" s="65"/>
      <c r="C32" s="112"/>
      <c r="D32" s="65"/>
      <c r="E32" s="65"/>
      <c r="F32" s="65"/>
      <c r="G32" s="49"/>
      <c r="H32" s="70"/>
      <c r="I32" s="70"/>
      <c r="J32" s="70"/>
      <c r="K32" s="70"/>
      <c r="L32" s="113"/>
      <c r="M32" s="114"/>
      <c r="N32" s="114"/>
      <c r="O32" s="70"/>
    </row>
    <row r="33" spans="1:15" ht="10.8" x14ac:dyDescent="0.15">
      <c r="A33" s="60">
        <v>12</v>
      </c>
      <c r="B33" s="65"/>
      <c r="C33" s="112"/>
      <c r="D33" s="65"/>
      <c r="E33" s="65"/>
      <c r="F33" s="65"/>
      <c r="G33" s="49"/>
      <c r="H33" s="70"/>
      <c r="I33" s="70"/>
      <c r="J33" s="70"/>
      <c r="K33" s="70"/>
      <c r="L33" s="113"/>
      <c r="M33" s="114"/>
      <c r="N33" s="114"/>
      <c r="O33" s="70"/>
    </row>
    <row r="34" spans="1:15" ht="10.8" x14ac:dyDescent="0.15">
      <c r="A34" s="64">
        <v>13</v>
      </c>
      <c r="B34" s="65"/>
      <c r="C34" s="112"/>
      <c r="D34" s="65"/>
      <c r="E34" s="65"/>
      <c r="F34" s="65"/>
      <c r="G34" s="49"/>
      <c r="H34" s="70"/>
      <c r="I34" s="70"/>
      <c r="J34" s="70"/>
      <c r="K34" s="70"/>
      <c r="L34" s="113"/>
      <c r="M34" s="114"/>
      <c r="N34" s="114"/>
      <c r="O34" s="70"/>
    </row>
    <row r="35" spans="1:15" ht="10.8" x14ac:dyDescent="0.15">
      <c r="A35" s="60">
        <v>14</v>
      </c>
      <c r="B35" s="65"/>
      <c r="C35" s="112"/>
      <c r="D35" s="65"/>
      <c r="E35" s="65"/>
      <c r="F35" s="65"/>
      <c r="G35" s="49"/>
      <c r="H35" s="70"/>
      <c r="I35" s="70"/>
      <c r="J35" s="70"/>
      <c r="K35" s="70"/>
      <c r="L35" s="113"/>
      <c r="M35" s="114"/>
      <c r="N35" s="114"/>
      <c r="O35" s="70"/>
    </row>
    <row r="36" spans="1:15" ht="10.8" x14ac:dyDescent="0.15">
      <c r="A36" s="60">
        <v>15</v>
      </c>
      <c r="B36" s="65"/>
      <c r="C36" s="112"/>
      <c r="D36" s="65"/>
      <c r="E36" s="65"/>
      <c r="F36" s="65"/>
      <c r="G36" s="49"/>
      <c r="H36" s="70"/>
      <c r="I36" s="70"/>
      <c r="J36" s="70"/>
      <c r="K36" s="70"/>
      <c r="L36" s="113"/>
      <c r="M36" s="114"/>
      <c r="N36" s="114"/>
      <c r="O36" s="70"/>
    </row>
    <row r="37" spans="1:15" ht="10.8" x14ac:dyDescent="0.15">
      <c r="A37" s="60">
        <v>16</v>
      </c>
      <c r="B37" s="65"/>
      <c r="C37" s="112"/>
      <c r="D37" s="65"/>
      <c r="E37" s="65"/>
      <c r="F37" s="65"/>
      <c r="G37" s="49"/>
      <c r="H37" s="70"/>
      <c r="I37" s="70"/>
      <c r="J37" s="70"/>
      <c r="K37" s="70"/>
      <c r="L37" s="113"/>
      <c r="M37" s="114"/>
      <c r="N37" s="114"/>
      <c r="O37" s="70"/>
    </row>
    <row r="38" spans="1:15" ht="10.8" x14ac:dyDescent="0.15">
      <c r="A38" s="64">
        <v>17</v>
      </c>
      <c r="B38" s="65"/>
      <c r="C38" s="112"/>
      <c r="D38" s="65"/>
      <c r="E38" s="65"/>
      <c r="F38" s="65"/>
      <c r="G38" s="49"/>
      <c r="H38" s="70"/>
      <c r="I38" s="70"/>
      <c r="J38" s="70"/>
      <c r="K38" s="70"/>
      <c r="L38" s="113"/>
      <c r="M38" s="114"/>
      <c r="N38" s="114"/>
      <c r="O38" s="70"/>
    </row>
    <row r="39" spans="1:15" ht="10.8" x14ac:dyDescent="0.15">
      <c r="A39" s="60">
        <v>18</v>
      </c>
      <c r="B39" s="65"/>
      <c r="C39" s="112"/>
      <c r="D39" s="65"/>
      <c r="E39" s="65"/>
      <c r="F39" s="65"/>
      <c r="G39" s="49"/>
      <c r="H39" s="70"/>
      <c r="I39" s="70"/>
      <c r="J39" s="70"/>
      <c r="K39" s="70"/>
      <c r="L39" s="113"/>
      <c r="M39" s="114"/>
      <c r="N39" s="114"/>
      <c r="O39" s="70"/>
    </row>
    <row r="40" spans="1:15" ht="10.8" x14ac:dyDescent="0.15">
      <c r="A40" s="60">
        <v>19</v>
      </c>
      <c r="B40" s="65"/>
      <c r="C40" s="112"/>
      <c r="D40" s="65"/>
      <c r="E40" s="65"/>
      <c r="F40" s="65"/>
      <c r="G40" s="49"/>
      <c r="H40" s="70"/>
      <c r="I40" s="70"/>
      <c r="J40" s="70"/>
      <c r="K40" s="70"/>
      <c r="L40" s="113"/>
      <c r="M40" s="114"/>
      <c r="N40" s="114"/>
      <c r="O40" s="70"/>
    </row>
    <row r="41" spans="1:15" ht="10.8" x14ac:dyDescent="0.15">
      <c r="A41" s="60">
        <v>20</v>
      </c>
      <c r="B41" s="65"/>
      <c r="C41" s="112"/>
      <c r="D41" s="65"/>
      <c r="E41" s="65"/>
      <c r="F41" s="65"/>
      <c r="G41" s="49"/>
      <c r="H41" s="70"/>
      <c r="I41" s="70"/>
      <c r="J41" s="70"/>
      <c r="K41" s="70"/>
      <c r="L41" s="113"/>
      <c r="M41" s="114"/>
      <c r="N41" s="114"/>
      <c r="O41" s="70"/>
    </row>
    <row r="42" spans="1:15" ht="10.8" x14ac:dyDescent="0.15">
      <c r="A42" s="66"/>
      <c r="B42" s="67">
        <f>COUNTA(B22:B41)</f>
        <v>5</v>
      </c>
      <c r="C42" s="67"/>
      <c r="D42" s="67"/>
      <c r="E42" s="67"/>
      <c r="F42" s="67"/>
      <c r="G42" s="67"/>
      <c r="H42" s="68">
        <f>SUM(H22:H41)</f>
        <v>150000000</v>
      </c>
      <c r="I42" s="68">
        <f>SUM(I22:I41)</f>
        <v>16666665</v>
      </c>
      <c r="J42" s="68">
        <f>SUM(J22:J41)</f>
        <v>1666665</v>
      </c>
      <c r="K42" s="68">
        <f>SUM(K22:K41)</f>
        <v>166665</v>
      </c>
      <c r="L42" s="68"/>
      <c r="M42" s="68"/>
      <c r="N42" s="68"/>
      <c r="O42" s="68">
        <f t="shared" ref="O42" si="1">SUM(O22:O41)</f>
        <v>0</v>
      </c>
    </row>
  </sheetData>
  <sheetProtection password="CC71" sheet="1" objects="1" scenarios="1"/>
  <protectedRanges>
    <protectedRange sqref="B8 C10:D11 C12:C15 B22:B41 O22:O41 D22:F41 H22:L41" name="範囲1"/>
    <protectedRange sqref="H12 H15 G22:G41" name="範囲2"/>
    <protectedRange sqref="C22:C41" name="範囲1_1"/>
    <protectedRange sqref="M22:N41" name="範囲1_1_1"/>
  </protectedRanges>
  <mergeCells count="5">
    <mergeCell ref="H10:I10"/>
    <mergeCell ref="A10:A13"/>
    <mergeCell ref="A14:A15"/>
    <mergeCell ref="C10:D10"/>
    <mergeCell ref="C11:D11"/>
  </mergeCells>
  <phoneticPr fontId="2"/>
  <dataValidations count="8">
    <dataValidation type="whole" imeMode="off" allowBlank="1" showInputMessage="1" showErrorMessage="1" error="法人番号は半角で13桁、個人番号(マイナンバー)き半角で12桁で入力してください。" prompt="法人番号は半角で13桁入力してください。_x000a_個人番号(マイナンバー)は半角で12桁で入力してください。(表示上13桁目に0が入りますが源泉徴収票には飛びません。)" sqref="C13">
      <formula1>1</formula1>
      <formula2>9999999999999</formula2>
    </dataValidation>
    <dataValidation type="list" imeMode="off" allowBlank="1" showInputMessage="1" showErrorMessage="1" sqref="H12">
      <formula1>$A$22:$A$41</formula1>
    </dataValidation>
    <dataValidation type="list" allowBlank="1" showInputMessage="1" showErrorMessage="1" sqref="H15">
      <formula1>"印字する,印字しない"</formula1>
    </dataValidation>
    <dataValidation type="whole" imeMode="off" allowBlank="1" showInputMessage="1" showErrorMessage="1" error="半角で8桁を入力してください。" prompt="半角で8桁を入力してください。" sqref="C15">
      <formula1>0</formula1>
      <formula2>99999999</formula2>
    </dataValidation>
    <dataValidation type="whole" imeMode="off" allowBlank="1" showInputMessage="1" showErrorMessage="1" error="半角で5桁を入力してください。" prompt="半角で5桁を入力してください。" sqref="C14">
      <formula1>0</formula1>
      <formula2>99999</formula2>
    </dataValidation>
    <dataValidation type="whole" imeMode="off" allowBlank="1" showInputMessage="1" showErrorMessage="1" error="半角で12桁入力してください" prompt="マイナンバーを半角で12桁入力してください。" sqref="C22:C41">
      <formula1>1</formula1>
      <formula2>999999999999</formula2>
    </dataValidation>
    <dataValidation type="date" imeMode="halfAlpha" operator="greaterThanOrEqual" allowBlank="1" showInputMessage="1" showErrorMessage="1" error="半角英数で(例)昭和48年1月1日生れの方は 1973/1/1か　S48.1.1　と入れてください。_x000a_" sqref="M22:N41">
      <formula1>1</formula1>
    </dataValidation>
    <dataValidation type="list" allowBlank="1" showInputMessage="1" showErrorMessage="1" sqref="G22:G41">
      <formula1>"上段,中段,下段"</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A54"/>
  <sheetViews>
    <sheetView zoomScaleNormal="100" workbookViewId="0">
      <selection activeCell="I4" sqref="I4:K4"/>
    </sheetView>
  </sheetViews>
  <sheetFormatPr defaultColWidth="2.33203125" defaultRowHeight="12" x14ac:dyDescent="0.15"/>
  <cols>
    <col min="1" max="1" width="2.5546875" style="4" customWidth="1"/>
    <col min="2" max="24" width="2.44140625" style="4" customWidth="1"/>
    <col min="25" max="37" width="2.44140625" style="23" customWidth="1"/>
    <col min="38" max="42" width="2.44140625" style="14" customWidth="1"/>
    <col min="43" max="78" width="2.44140625" style="23" customWidth="1"/>
    <col min="79" max="79" width="2.5546875" style="4" customWidth="1"/>
    <col min="80" max="16384" width="2.33203125" style="4"/>
  </cols>
  <sheetData>
    <row r="1" spans="1:79" x14ac:dyDescent="0.15">
      <c r="A1" s="3" t="s">
        <v>43</v>
      </c>
      <c r="F1" s="1"/>
      <c r="K1" s="1"/>
    </row>
    <row r="2" spans="1:79" x14ac:dyDescent="0.15">
      <c r="A2" s="3" t="s">
        <v>114</v>
      </c>
      <c r="F2" s="1"/>
      <c r="K2" s="1"/>
    </row>
    <row r="3" spans="1:79" x14ac:dyDescent="0.15">
      <c r="A3" s="3"/>
      <c r="F3" s="1"/>
    </row>
    <row r="4" spans="1:79" s="5" customFormat="1" ht="14.4" x14ac:dyDescent="0.15">
      <c r="H4" s="6" t="s">
        <v>8</v>
      </c>
      <c r="I4" s="202">
        <f>+'tai-data'!$B$8</f>
        <v>30</v>
      </c>
      <c r="J4" s="202"/>
      <c r="K4" s="202"/>
      <c r="L4" s="5" t="s">
        <v>112</v>
      </c>
      <c r="Z4" s="24"/>
      <c r="AA4" s="24"/>
      <c r="AB4" s="24"/>
      <c r="AC4" s="24"/>
      <c r="AD4" s="24"/>
      <c r="AE4" s="24"/>
      <c r="AF4" s="24"/>
      <c r="AG4" s="24"/>
      <c r="AH4" s="24"/>
      <c r="AI4" s="24"/>
      <c r="AJ4" s="24"/>
      <c r="AK4" s="24"/>
      <c r="AL4" s="24"/>
      <c r="AM4" s="14"/>
      <c r="AN4" s="14"/>
      <c r="AO4" s="14"/>
      <c r="AP4" s="14"/>
      <c r="AQ4" s="14"/>
      <c r="AW4" s="6" t="s">
        <v>8</v>
      </c>
      <c r="AX4" s="202">
        <f>+'tai-data'!$B$8</f>
        <v>30</v>
      </c>
      <c r="AY4" s="202"/>
      <c r="AZ4" s="202"/>
      <c r="BA4" s="5" t="str">
        <f>+L4</f>
        <v>年分 　退職所得の源泉徴収票・特別徴収票</v>
      </c>
      <c r="BO4" s="24"/>
      <c r="BP4" s="24"/>
      <c r="BQ4" s="24"/>
      <c r="BR4" s="24"/>
      <c r="BS4" s="24"/>
      <c r="BT4" s="24"/>
      <c r="BU4" s="24"/>
      <c r="BV4" s="24"/>
      <c r="BW4" s="24"/>
      <c r="BX4" s="24"/>
      <c r="BY4" s="24"/>
      <c r="BZ4" s="24"/>
      <c r="CA4" s="24"/>
    </row>
    <row r="5" spans="1:79" s="5" customFormat="1" ht="16.2" x14ac:dyDescent="0.15">
      <c r="A5" s="107"/>
      <c r="B5" s="188" t="s">
        <v>19</v>
      </c>
      <c r="C5" s="188"/>
      <c r="D5" s="188"/>
      <c r="E5" s="204" t="s">
        <v>58</v>
      </c>
      <c r="F5" s="204"/>
      <c r="G5" s="204"/>
      <c r="H5" s="204"/>
      <c r="I5" s="27" t="str">
        <f>IF($T$5="","",IF(VLOOKUP('tai-data'!$H$12,'tai-data'!$A$22:$K$41,3,1)="","",LEFT((RIGHT(VLOOKUP('tai-data'!$H$12,'tai-data'!$A$22:$K$41,3,1)+10000000000000,12)),1)))</f>
        <v/>
      </c>
      <c r="J5" s="28" t="str">
        <f>IF($T$5="","",IF(VLOOKUP('tai-data'!$H$12,'tai-data'!$A$22:$K$41,3,1)="","",LEFT((RIGHT(VLOOKUP('tai-data'!$H$12,'tai-data'!$A$22:$K$41,3,1)+10000000000000,11)),1)))</f>
        <v/>
      </c>
      <c r="K5" s="28" t="str">
        <f>IF($T$5="","",IF(VLOOKUP('tai-data'!$H$12,'tai-data'!$A$22:$K$41,3,1)="","",LEFT((RIGHT(VLOOKUP('tai-data'!$H$12,'tai-data'!$A$22:$K$41,3,1)+10000000000000,10)),1)))</f>
        <v/>
      </c>
      <c r="L5" s="29" t="str">
        <f>IF($T$5="","",IF(VLOOKUP('tai-data'!$H$12,'tai-data'!$A$22:$K$41,3,1)="","",LEFT((RIGHT(VLOOKUP('tai-data'!$H$12,'tai-data'!$A$22:$K$41,3,1)+10000000000000,9)),1)))</f>
        <v/>
      </c>
      <c r="M5" s="27" t="str">
        <f>IF($T$5="","",IF(VLOOKUP('tai-data'!$H$12,'tai-data'!$A$22:$K$41,3,1)="","",LEFT((RIGHT(VLOOKUP('tai-data'!$H$12,'tai-data'!$A$22:$K$41,3,1)+10000000000000,8)),1)))</f>
        <v/>
      </c>
      <c r="N5" s="28" t="str">
        <f>IF($T$5="","",IF(VLOOKUP('tai-data'!$H$12,'tai-data'!$A$22:$K$41,3,1)="","",LEFT((RIGHT(VLOOKUP('tai-data'!$H$12,'tai-data'!$A$22:$K$41,3,1)+10000000000000,7)),1)))</f>
        <v/>
      </c>
      <c r="O5" s="28" t="str">
        <f>IF($T$5="","",IF(VLOOKUP('tai-data'!$H$12,'tai-data'!$A$22:$K$41,3,1)="","",LEFT((RIGHT(VLOOKUP('tai-data'!$H$12,'tai-data'!$A$22:$K$41,3,1)+10000000000000,6)),1)))</f>
        <v/>
      </c>
      <c r="P5" s="29" t="str">
        <f>IF($T$5="","",IF(VLOOKUP('tai-data'!$H$12,'tai-data'!$A$22:$K$41,3,1)="","",LEFT((RIGHT(VLOOKUP('tai-data'!$H$12,'tai-data'!$A$22:$K$41,3,1)+10000000000000,5)),1)))</f>
        <v/>
      </c>
      <c r="Q5" s="27" t="str">
        <f>IF($T$5="","",IF(VLOOKUP('tai-data'!$H$12,'tai-data'!$A$22:$K$41,3,1)="","",LEFT((RIGHT(VLOOKUP('tai-data'!$H$12,'tai-data'!$A$22:$K$41,3,1)+10000000000000,4)),1)))</f>
        <v/>
      </c>
      <c r="R5" s="28" t="str">
        <f>IF($T$5="","",IF(VLOOKUP('tai-data'!$H$12,'tai-data'!$A$22:$K$41,3,1)="","",LEFT((RIGHT(VLOOKUP('tai-data'!$H$12,'tai-data'!$A$22:$K$41,3,1)+10000000000000,3)),1)))</f>
        <v/>
      </c>
      <c r="S5" s="28" t="str">
        <f>IF($T$5="","",IF(VLOOKUP('tai-data'!$H$12,'tai-data'!$A$22:$K$41,3,1)="","",LEFT((RIGHT(VLOOKUP('tai-data'!$H$12,'tai-data'!$A$22:$K$41,3,1)+10000000000000,2)),1)))</f>
        <v/>
      </c>
      <c r="T5" s="30" t="str">
        <f>IF('tai-data'!$H$15="印字しない","",IF(VLOOKUP('tai-data'!$H$12,'tai-data'!$A$22:$K$41,3,1)="","",LEFT((RIGHT(VLOOKUP('tai-data'!$H$12,'tai-data'!$A$22:$K$41,3,1)+10000000000000,1)),1)))</f>
        <v/>
      </c>
      <c r="U5" s="189"/>
      <c r="V5" s="190"/>
      <c r="W5" s="190"/>
      <c r="X5" s="190"/>
      <c r="Y5" s="190"/>
      <c r="Z5" s="190"/>
      <c r="AA5" s="190"/>
      <c r="AB5" s="190"/>
      <c r="AC5" s="190"/>
      <c r="AD5" s="190"/>
      <c r="AE5" s="190"/>
      <c r="AF5" s="190"/>
      <c r="AG5" s="190"/>
      <c r="AH5" s="190"/>
      <c r="AI5" s="190"/>
      <c r="AJ5" s="190"/>
      <c r="AK5" s="191"/>
      <c r="AL5" s="14"/>
      <c r="AM5" s="14"/>
      <c r="AN5" s="14"/>
      <c r="AO5" s="14"/>
      <c r="AP5" s="14"/>
      <c r="AQ5" s="188" t="s">
        <v>19</v>
      </c>
      <c r="AR5" s="188"/>
      <c r="AS5" s="188"/>
      <c r="AT5" s="204" t="s">
        <v>58</v>
      </c>
      <c r="AU5" s="204"/>
      <c r="AV5" s="204"/>
      <c r="AW5" s="204"/>
      <c r="AX5" s="27" t="str">
        <f>IF($BI$5="","",IF(VLOOKUP('tai-data'!$H$12+2,'tai-data'!$A$22:$K$41,3,1)="","",LEFT((RIGHT(VLOOKUP('tai-data'!$H$12+2,'tai-data'!$A$22:$K$41,3,1)+10000000000000,12)),1)))</f>
        <v/>
      </c>
      <c r="AY5" s="28" t="str">
        <f>IF($BI$5="","",IF(VLOOKUP('tai-data'!$H$12+2,'tai-data'!$A$22:$K$41,3,1)="","",LEFT((RIGHT(VLOOKUP('tai-data'!$H$12+2,'tai-data'!$A$22:$K$41,3,1)+10000000000000,11)),1)))</f>
        <v/>
      </c>
      <c r="AZ5" s="28" t="str">
        <f>IF($BI$5="","",IF(VLOOKUP('tai-data'!$H$12+2,'tai-data'!$A$22:$K$41,3,1)="","",LEFT((RIGHT(VLOOKUP('tai-data'!$H$12+2,'tai-data'!$A$22:$K$41,3,1)+10000000000000,10)),1)))</f>
        <v/>
      </c>
      <c r="BA5" s="29" t="str">
        <f>IF($BI$5="","",IF(VLOOKUP('tai-data'!$H$12+2,'tai-data'!$A$22:$K$41,3,1)="","",LEFT((RIGHT(VLOOKUP('tai-data'!$H$12+2,'tai-data'!$A$22:$K$41,3,1)+10000000000000,9)),1)))</f>
        <v/>
      </c>
      <c r="BB5" s="27" t="str">
        <f>IF($BI$5="","",IF(VLOOKUP('tai-data'!$H$12+2,'tai-data'!$A$22:$K$41,3,1)="","",LEFT((RIGHT(VLOOKUP('tai-data'!$H$12+2,'tai-data'!$A$22:$K$41,3,1)+10000000000000,8)),1)))</f>
        <v/>
      </c>
      <c r="BC5" s="28" t="str">
        <f>IF($BI$5="","",IF(VLOOKUP('tai-data'!$H$12+2,'tai-data'!$A$22:$K$41,3,1)="","",LEFT((RIGHT(VLOOKUP('tai-data'!$H$12+2,'tai-data'!$A$22:$K$41,3,1)+10000000000000,7)),1)))</f>
        <v/>
      </c>
      <c r="BD5" s="28" t="str">
        <f>IF($BI$5="","",IF(VLOOKUP('tai-data'!$H$12+2,'tai-data'!$A$22:$K$41,3,1)="","",LEFT((RIGHT(VLOOKUP('tai-data'!$H$12+2,'tai-data'!$A$22:$K$41,3,1)+10000000000000,6)),1)))</f>
        <v/>
      </c>
      <c r="BE5" s="29" t="str">
        <f>IF($BI$5="","",IF(VLOOKUP('tai-data'!$H$12+2,'tai-data'!$A$22:$K$41,3,1)="","",LEFT((RIGHT(VLOOKUP('tai-data'!$H$12+2,'tai-data'!$A$22:$K$41,3,1)+10000000000000,5)),1)))</f>
        <v/>
      </c>
      <c r="BF5" s="27" t="str">
        <f>IF($BI$5="","",IF(VLOOKUP('tai-data'!$H$12+2,'tai-data'!$A$22:$K$41,3,1)="","",LEFT((RIGHT(VLOOKUP('tai-data'!$H$12+2,'tai-data'!$A$22:$K$41,3,1)+10000000000000,4)),1)))</f>
        <v/>
      </c>
      <c r="BG5" s="28" t="str">
        <f>IF($BI$5="","",IF(VLOOKUP('tai-data'!$H$12+2,'tai-data'!$A$22:$K$41,3,1)="","",LEFT((RIGHT(VLOOKUP('tai-data'!$H$12+2,'tai-data'!$A$22:$K$41,3,1)+10000000000000,3)),1)))</f>
        <v/>
      </c>
      <c r="BH5" s="28" t="str">
        <f>IF($BI$5="","",IF(VLOOKUP('tai-data'!$H$12+2,'tai-data'!$A$22:$K$41,3,1)="","",LEFT((RIGHT(VLOOKUP('tai-data'!$H$12+2,'tai-data'!$A$22:$K$41,3,1)+10000000000000,2)),1)))</f>
        <v/>
      </c>
      <c r="BI5" s="30" t="str">
        <f>IF('tai-data'!$H$15="印字しない","",IF(VLOOKUP('tai-data'!$H$12+2,'tai-data'!$A$22:$K$41,3,1)="","",LEFT((RIGHT(VLOOKUP('tai-data'!$H$12+2,'tai-data'!$A$22:$K$41,3,1)+10000000000000,1)),1)))</f>
        <v/>
      </c>
      <c r="BJ5" s="189"/>
      <c r="BK5" s="190"/>
      <c r="BL5" s="190"/>
      <c r="BM5" s="190"/>
      <c r="BN5" s="190"/>
      <c r="BO5" s="190"/>
      <c r="BP5" s="190"/>
      <c r="BQ5" s="190"/>
      <c r="BR5" s="190"/>
      <c r="BS5" s="190"/>
      <c r="BT5" s="190"/>
      <c r="BU5" s="190"/>
      <c r="BV5" s="190"/>
      <c r="BW5" s="190"/>
      <c r="BX5" s="190"/>
      <c r="BY5" s="190"/>
      <c r="BZ5" s="191"/>
    </row>
    <row r="6" spans="1:79" ht="16.2" x14ac:dyDescent="0.15">
      <c r="A6" s="107"/>
      <c r="B6" s="188"/>
      <c r="C6" s="188"/>
      <c r="D6" s="188"/>
      <c r="E6" s="192" t="s">
        <v>59</v>
      </c>
      <c r="F6" s="192"/>
      <c r="G6" s="192"/>
      <c r="H6" s="192"/>
      <c r="I6" s="33"/>
      <c r="J6" s="34"/>
      <c r="K6" s="111" t="str">
        <f>VLOOKUP('tai-data'!$H$12,'tai-data'!$A$22:$K$41,4,1)&amp;""</f>
        <v>東京都○○区○○町1-2-3</v>
      </c>
      <c r="L6" s="34"/>
      <c r="M6" s="7"/>
      <c r="N6" s="7"/>
      <c r="O6" s="8"/>
      <c r="P6" s="8"/>
      <c r="Q6" s="8"/>
      <c r="R6" s="8"/>
      <c r="S6" s="8"/>
      <c r="T6" s="8"/>
      <c r="U6" s="8"/>
      <c r="V6" s="8"/>
      <c r="W6" s="8"/>
      <c r="X6" s="8"/>
      <c r="Y6" s="25"/>
      <c r="Z6" s="25"/>
      <c r="AA6" s="25"/>
      <c r="AB6" s="25"/>
      <c r="AC6" s="25"/>
      <c r="AD6" s="25"/>
      <c r="AE6" s="25"/>
      <c r="AF6" s="25"/>
      <c r="AG6" s="25"/>
      <c r="AH6" s="25"/>
      <c r="AI6" s="25"/>
      <c r="AJ6" s="25"/>
      <c r="AK6" s="26"/>
      <c r="AQ6" s="188"/>
      <c r="AR6" s="188"/>
      <c r="AS6" s="188"/>
      <c r="AT6" s="192" t="s">
        <v>59</v>
      </c>
      <c r="AU6" s="192"/>
      <c r="AV6" s="192"/>
      <c r="AW6" s="192"/>
      <c r="AX6" s="33"/>
      <c r="AY6" s="34"/>
      <c r="AZ6" s="111" t="str">
        <f>VLOOKUP('tai-data'!$H$12+2,'tai-data'!$A$22:$K$41,4,1)&amp;""</f>
        <v>東京都○○区○○町7-8-9</v>
      </c>
      <c r="BA6" s="34"/>
      <c r="BB6" s="7"/>
      <c r="BC6" s="7"/>
      <c r="BD6" s="8"/>
      <c r="BE6" s="8"/>
      <c r="BF6" s="8"/>
      <c r="BG6" s="8"/>
      <c r="BH6" s="8"/>
      <c r="BI6" s="8"/>
      <c r="BJ6" s="8"/>
      <c r="BK6" s="8"/>
      <c r="BL6" s="8"/>
      <c r="BM6" s="8"/>
      <c r="BN6" s="25"/>
      <c r="BO6" s="25"/>
      <c r="BP6" s="25"/>
      <c r="BQ6" s="25"/>
      <c r="BR6" s="25"/>
      <c r="BS6" s="25"/>
      <c r="BT6" s="25"/>
      <c r="BU6" s="25"/>
      <c r="BV6" s="25"/>
      <c r="BW6" s="25"/>
      <c r="BX6" s="25"/>
      <c r="BY6" s="25"/>
      <c r="BZ6" s="26"/>
    </row>
    <row r="7" spans="1:79" ht="16.2" x14ac:dyDescent="0.15">
      <c r="A7" s="107"/>
      <c r="B7" s="188"/>
      <c r="C7" s="188"/>
      <c r="D7" s="188"/>
      <c r="E7" s="193" t="str">
        <f>"平成"&amp;I4&amp;"年　　　　1月1日の住所"</f>
        <v>平成30年　　　　1月1日の住所</v>
      </c>
      <c r="F7" s="193"/>
      <c r="G7" s="193"/>
      <c r="H7" s="194"/>
      <c r="I7" s="33"/>
      <c r="J7" s="34"/>
      <c r="K7" s="111" t="str">
        <f>VLOOKUP('tai-data'!$H$12,'tai-data'!$A$22:$K$41,5,1)&amp;""</f>
        <v>同上</v>
      </c>
      <c r="L7" s="34"/>
      <c r="M7" s="7"/>
      <c r="N7" s="7"/>
      <c r="O7" s="8"/>
      <c r="P7" s="8"/>
      <c r="Q7" s="8"/>
      <c r="R7" s="8"/>
      <c r="S7" s="8"/>
      <c r="T7" s="8"/>
      <c r="U7" s="8"/>
      <c r="V7" s="8"/>
      <c r="W7" s="8"/>
      <c r="X7" s="8"/>
      <c r="Y7" s="25"/>
      <c r="Z7" s="25"/>
      <c r="AA7" s="25"/>
      <c r="AB7" s="25"/>
      <c r="AC7" s="25"/>
      <c r="AD7" s="25"/>
      <c r="AE7" s="25"/>
      <c r="AF7" s="25"/>
      <c r="AG7" s="25"/>
      <c r="AH7" s="25"/>
      <c r="AI7" s="25"/>
      <c r="AJ7" s="25"/>
      <c r="AK7" s="26"/>
      <c r="AQ7" s="188"/>
      <c r="AR7" s="188"/>
      <c r="AS7" s="188"/>
      <c r="AT7" s="193" t="str">
        <f>"平成"&amp;AX4&amp;"年　　　　1月1日の住所"</f>
        <v>平成30年　　　　1月1日の住所</v>
      </c>
      <c r="AU7" s="193"/>
      <c r="AV7" s="193"/>
      <c r="AW7" s="194"/>
      <c r="AX7" s="33"/>
      <c r="AY7" s="34"/>
      <c r="AZ7" s="111" t="str">
        <f>VLOOKUP('tai-data'!$H$12+2,'tai-data'!$A$22:$K$41,5,1)&amp;""</f>
        <v>同上</v>
      </c>
      <c r="BA7" s="34"/>
      <c r="BB7" s="7"/>
      <c r="BC7" s="7"/>
      <c r="BD7" s="8"/>
      <c r="BE7" s="8"/>
      <c r="BF7" s="8"/>
      <c r="BG7" s="8"/>
      <c r="BH7" s="8"/>
      <c r="BI7" s="8"/>
      <c r="BJ7" s="8"/>
      <c r="BK7" s="8"/>
      <c r="BL7" s="8"/>
      <c r="BM7" s="8"/>
      <c r="BN7" s="25"/>
      <c r="BO7" s="25"/>
      <c r="BP7" s="25"/>
      <c r="BQ7" s="25"/>
      <c r="BR7" s="25"/>
      <c r="BS7" s="25"/>
      <c r="BT7" s="25"/>
      <c r="BU7" s="25"/>
      <c r="BV7" s="25"/>
      <c r="BW7" s="25"/>
      <c r="BX7" s="25"/>
      <c r="BY7" s="25"/>
      <c r="BZ7" s="26"/>
    </row>
    <row r="8" spans="1:79" s="10" customFormat="1" ht="8.4" x14ac:dyDescent="0.15">
      <c r="B8" s="188"/>
      <c r="C8" s="188"/>
      <c r="D8" s="188"/>
      <c r="E8" s="152" t="s">
        <v>61</v>
      </c>
      <c r="F8" s="152"/>
      <c r="G8" s="152"/>
      <c r="H8" s="195"/>
      <c r="I8" s="197" t="s">
        <v>60</v>
      </c>
      <c r="J8" s="198"/>
      <c r="K8" s="98"/>
      <c r="L8" s="99"/>
      <c r="M8" s="100"/>
      <c r="N8" s="101"/>
      <c r="O8" s="102"/>
      <c r="P8" s="102"/>
      <c r="Q8" s="102"/>
      <c r="R8" s="102"/>
      <c r="S8" s="102"/>
      <c r="T8" s="102"/>
      <c r="U8" s="102"/>
      <c r="V8" s="102"/>
      <c r="W8" s="102"/>
      <c r="X8" s="102"/>
      <c r="Y8" s="103"/>
      <c r="Z8" s="103"/>
      <c r="AA8" s="103"/>
      <c r="AB8" s="103"/>
      <c r="AC8" s="103"/>
      <c r="AD8" s="103"/>
      <c r="AE8" s="103"/>
      <c r="AF8" s="103"/>
      <c r="AG8" s="103"/>
      <c r="AH8" s="103"/>
      <c r="AI8" s="103"/>
      <c r="AJ8" s="103"/>
      <c r="AK8" s="104"/>
      <c r="AL8" s="52"/>
      <c r="AM8" s="52"/>
      <c r="AN8" s="52"/>
      <c r="AO8" s="52"/>
      <c r="AP8" s="52"/>
      <c r="AQ8" s="188"/>
      <c r="AR8" s="188"/>
      <c r="AS8" s="188"/>
      <c r="AT8" s="152" t="s">
        <v>9</v>
      </c>
      <c r="AU8" s="152"/>
      <c r="AV8" s="152"/>
      <c r="AW8" s="195"/>
      <c r="AX8" s="197" t="s">
        <v>60</v>
      </c>
      <c r="AY8" s="198"/>
      <c r="AZ8" s="98"/>
      <c r="BA8" s="99"/>
      <c r="BB8" s="100"/>
      <c r="BC8" s="101"/>
      <c r="BD8" s="102"/>
      <c r="BE8" s="102"/>
      <c r="BF8" s="102"/>
      <c r="BG8" s="102"/>
      <c r="BH8" s="102"/>
      <c r="BI8" s="102"/>
      <c r="BJ8" s="102"/>
      <c r="BK8" s="102"/>
      <c r="BL8" s="102"/>
      <c r="BM8" s="102"/>
      <c r="BN8" s="103"/>
      <c r="BO8" s="103"/>
      <c r="BP8" s="103"/>
      <c r="BQ8" s="103"/>
      <c r="BR8" s="103"/>
      <c r="BS8" s="103"/>
      <c r="BT8" s="103"/>
      <c r="BU8" s="103"/>
      <c r="BV8" s="103"/>
      <c r="BW8" s="103"/>
      <c r="BX8" s="103"/>
      <c r="BY8" s="103"/>
      <c r="BZ8" s="104"/>
    </row>
    <row r="9" spans="1:79" ht="19.2" x14ac:dyDescent="0.15">
      <c r="A9" s="11"/>
      <c r="B9" s="188"/>
      <c r="C9" s="188"/>
      <c r="D9" s="188"/>
      <c r="E9" s="156"/>
      <c r="F9" s="156"/>
      <c r="G9" s="156"/>
      <c r="H9" s="196"/>
      <c r="I9" s="199" t="str">
        <f>VLOOKUP('tai-data'!$H$12,'tai-data'!$A$22:$K$41,6,1)&amp;""</f>
        <v>代表取締役社長</v>
      </c>
      <c r="J9" s="200"/>
      <c r="K9" s="200"/>
      <c r="L9" s="200"/>
      <c r="M9" s="200"/>
      <c r="N9" s="200"/>
      <c r="O9" s="200"/>
      <c r="P9" s="105"/>
      <c r="Q9" s="51" t="str">
        <f>VLOOKUP('tai-data'!$H$12,'tai-data'!$A$22:$K$41,2,1)&amp;""</f>
        <v>退職金太郎</v>
      </c>
      <c r="R9" s="106"/>
      <c r="S9" s="105"/>
      <c r="T9" s="15"/>
      <c r="U9" s="15"/>
      <c r="V9" s="15"/>
      <c r="W9" s="15"/>
      <c r="X9" s="96"/>
      <c r="Y9" s="96"/>
      <c r="Z9" s="96"/>
      <c r="AA9" s="96"/>
      <c r="AB9" s="96"/>
      <c r="AC9" s="96"/>
      <c r="AD9" s="96"/>
      <c r="AE9" s="96"/>
      <c r="AF9" s="96"/>
      <c r="AG9" s="96"/>
      <c r="AH9" s="96"/>
      <c r="AI9" s="96"/>
      <c r="AJ9" s="96"/>
      <c r="AK9" s="97"/>
      <c r="AQ9" s="188"/>
      <c r="AR9" s="188"/>
      <c r="AS9" s="188"/>
      <c r="AT9" s="156"/>
      <c r="AU9" s="156"/>
      <c r="AV9" s="156"/>
      <c r="AW9" s="196"/>
      <c r="AX9" s="199" t="str">
        <f>VLOOKUP('tai-data'!$H$12+2,'tai-data'!$A$22:$K$41,6,1)&amp;""</f>
        <v>専務取締役</v>
      </c>
      <c r="AY9" s="200"/>
      <c r="AZ9" s="200"/>
      <c r="BA9" s="200"/>
      <c r="BB9" s="200"/>
      <c r="BC9" s="200"/>
      <c r="BD9" s="200"/>
      <c r="BE9" s="105"/>
      <c r="BF9" s="51" t="str">
        <f>VLOOKUP('tai-data'!$H$12+2,'tai-data'!$A$22:$K$41,2,1)&amp;""</f>
        <v>退職金三郎</v>
      </c>
      <c r="BG9" s="106"/>
      <c r="BH9" s="105"/>
      <c r="BI9" s="15"/>
      <c r="BJ9" s="15"/>
      <c r="BK9" s="15"/>
      <c r="BL9" s="15"/>
      <c r="BM9" s="96"/>
      <c r="BN9" s="96"/>
      <c r="BO9" s="96"/>
      <c r="BP9" s="96"/>
      <c r="BQ9" s="96"/>
      <c r="BR9" s="96"/>
      <c r="BS9" s="96"/>
      <c r="BT9" s="96"/>
      <c r="BU9" s="96"/>
      <c r="BV9" s="96"/>
      <c r="BW9" s="96"/>
      <c r="BX9" s="96"/>
      <c r="BY9" s="96"/>
      <c r="BZ9" s="97"/>
    </row>
    <row r="10" spans="1:79" s="12" customFormat="1" ht="9.6" x14ac:dyDescent="0.15">
      <c r="B10" s="175" t="s">
        <v>20</v>
      </c>
      <c r="C10" s="175"/>
      <c r="D10" s="175"/>
      <c r="E10" s="175"/>
      <c r="F10" s="175"/>
      <c r="G10" s="175"/>
      <c r="H10" s="175"/>
      <c r="I10" s="175"/>
      <c r="J10" s="175"/>
      <c r="K10" s="175"/>
      <c r="L10" s="175"/>
      <c r="M10" s="175"/>
      <c r="N10" s="176" t="s">
        <v>65</v>
      </c>
      <c r="O10" s="177"/>
      <c r="P10" s="177"/>
      <c r="Q10" s="177"/>
      <c r="R10" s="177"/>
      <c r="S10" s="178"/>
      <c r="T10" s="176" t="s">
        <v>11</v>
      </c>
      <c r="U10" s="177"/>
      <c r="V10" s="177"/>
      <c r="W10" s="177"/>
      <c r="X10" s="177"/>
      <c r="Y10" s="178"/>
      <c r="Z10" s="182" t="s">
        <v>71</v>
      </c>
      <c r="AA10" s="183"/>
      <c r="AB10" s="183"/>
      <c r="AC10" s="183"/>
      <c r="AD10" s="183"/>
      <c r="AE10" s="183"/>
      <c r="AF10" s="183"/>
      <c r="AG10" s="183"/>
      <c r="AH10" s="183"/>
      <c r="AI10" s="183"/>
      <c r="AJ10" s="183"/>
      <c r="AK10" s="184"/>
      <c r="AL10" s="14"/>
      <c r="AM10" s="14"/>
      <c r="AN10" s="14"/>
      <c r="AO10" s="14"/>
      <c r="AP10" s="14"/>
      <c r="AQ10" s="175" t="s">
        <v>20</v>
      </c>
      <c r="AR10" s="175"/>
      <c r="AS10" s="175"/>
      <c r="AT10" s="175"/>
      <c r="AU10" s="175"/>
      <c r="AV10" s="175"/>
      <c r="AW10" s="175"/>
      <c r="AX10" s="175"/>
      <c r="AY10" s="175"/>
      <c r="AZ10" s="175"/>
      <c r="BA10" s="175"/>
      <c r="BB10" s="175"/>
      <c r="BC10" s="176" t="s">
        <v>65</v>
      </c>
      <c r="BD10" s="177"/>
      <c r="BE10" s="177"/>
      <c r="BF10" s="177"/>
      <c r="BG10" s="177"/>
      <c r="BH10" s="178"/>
      <c r="BI10" s="176" t="s">
        <v>11</v>
      </c>
      <c r="BJ10" s="177"/>
      <c r="BK10" s="177"/>
      <c r="BL10" s="177"/>
      <c r="BM10" s="177"/>
      <c r="BN10" s="178"/>
      <c r="BO10" s="182" t="s">
        <v>71</v>
      </c>
      <c r="BP10" s="183"/>
      <c r="BQ10" s="183"/>
      <c r="BR10" s="183"/>
      <c r="BS10" s="183"/>
      <c r="BT10" s="183"/>
      <c r="BU10" s="183"/>
      <c r="BV10" s="183"/>
      <c r="BW10" s="183"/>
      <c r="BX10" s="183"/>
      <c r="BY10" s="183"/>
      <c r="BZ10" s="184"/>
    </row>
    <row r="11" spans="1:79" s="12" customFormat="1" ht="9.6" x14ac:dyDescent="0.15">
      <c r="B11" s="175"/>
      <c r="C11" s="175"/>
      <c r="D11" s="175"/>
      <c r="E11" s="175"/>
      <c r="F11" s="175"/>
      <c r="G11" s="175"/>
      <c r="H11" s="175"/>
      <c r="I11" s="175"/>
      <c r="J11" s="175"/>
      <c r="K11" s="175"/>
      <c r="L11" s="175"/>
      <c r="M11" s="175"/>
      <c r="N11" s="179"/>
      <c r="O11" s="180"/>
      <c r="P11" s="180"/>
      <c r="Q11" s="180"/>
      <c r="R11" s="180"/>
      <c r="S11" s="181"/>
      <c r="T11" s="179"/>
      <c r="U11" s="180"/>
      <c r="V11" s="180"/>
      <c r="W11" s="180"/>
      <c r="X11" s="180"/>
      <c r="Y11" s="181"/>
      <c r="Z11" s="185" t="s">
        <v>68</v>
      </c>
      <c r="AA11" s="186"/>
      <c r="AB11" s="186"/>
      <c r="AC11" s="186"/>
      <c r="AD11" s="186"/>
      <c r="AE11" s="187"/>
      <c r="AF11" s="185" t="s">
        <v>70</v>
      </c>
      <c r="AG11" s="186"/>
      <c r="AH11" s="186"/>
      <c r="AI11" s="186"/>
      <c r="AJ11" s="186"/>
      <c r="AK11" s="187"/>
      <c r="AL11" s="14"/>
      <c r="AM11" s="14"/>
      <c r="AN11" s="14"/>
      <c r="AO11" s="14"/>
      <c r="AP11" s="14"/>
      <c r="AQ11" s="175"/>
      <c r="AR11" s="175"/>
      <c r="AS11" s="175"/>
      <c r="AT11" s="175"/>
      <c r="AU11" s="175"/>
      <c r="AV11" s="175"/>
      <c r="AW11" s="175"/>
      <c r="AX11" s="175"/>
      <c r="AY11" s="175"/>
      <c r="AZ11" s="175"/>
      <c r="BA11" s="175"/>
      <c r="BB11" s="175"/>
      <c r="BC11" s="179"/>
      <c r="BD11" s="180"/>
      <c r="BE11" s="180"/>
      <c r="BF11" s="180"/>
      <c r="BG11" s="180"/>
      <c r="BH11" s="181"/>
      <c r="BI11" s="179"/>
      <c r="BJ11" s="180"/>
      <c r="BK11" s="180"/>
      <c r="BL11" s="180"/>
      <c r="BM11" s="180"/>
      <c r="BN11" s="181"/>
      <c r="BO11" s="185" t="s">
        <v>68</v>
      </c>
      <c r="BP11" s="186"/>
      <c r="BQ11" s="186"/>
      <c r="BR11" s="186"/>
      <c r="BS11" s="186"/>
      <c r="BT11" s="187"/>
      <c r="BU11" s="185" t="s">
        <v>70</v>
      </c>
      <c r="BV11" s="186"/>
      <c r="BW11" s="186"/>
      <c r="BX11" s="186"/>
      <c r="BY11" s="186"/>
      <c r="BZ11" s="187"/>
    </row>
    <row r="12" spans="1:79" s="12" customFormat="1" ht="9.6" customHeight="1" x14ac:dyDescent="0.15">
      <c r="B12" s="163" t="s">
        <v>72</v>
      </c>
      <c r="C12" s="164"/>
      <c r="D12" s="164"/>
      <c r="E12" s="164"/>
      <c r="F12" s="164"/>
      <c r="G12" s="164"/>
      <c r="H12" s="164"/>
      <c r="I12" s="164"/>
      <c r="J12" s="164"/>
      <c r="K12" s="164"/>
      <c r="L12" s="164"/>
      <c r="M12" s="165"/>
      <c r="N12" s="10" t="s">
        <v>109</v>
      </c>
      <c r="O12" s="169"/>
      <c r="P12" s="169"/>
      <c r="Q12" s="169"/>
      <c r="R12" s="169"/>
      <c r="S12" s="170"/>
      <c r="T12" s="120">
        <f>IF(IF(VLOOKUP('tai-data'!$H$12,'tai-data'!$A$22:$O$41,7,1)=0,"",VLOOKUP('tai-data'!$H$12,'tai-data'!$A$22:$O$41,7,1))="上段",1,"")</f>
        <v>1</v>
      </c>
      <c r="Z12" s="115"/>
      <c r="AA12" s="116"/>
      <c r="AB12" s="116"/>
      <c r="AC12" s="116"/>
      <c r="AD12" s="116"/>
      <c r="AE12" s="117"/>
      <c r="AF12" s="115"/>
      <c r="AG12" s="116"/>
      <c r="AH12" s="116"/>
      <c r="AI12" s="116"/>
      <c r="AJ12" s="116"/>
      <c r="AK12" s="117"/>
      <c r="AL12" s="14"/>
      <c r="AM12" s="14"/>
      <c r="AN12" s="14"/>
      <c r="AO12" s="14"/>
      <c r="AP12" s="14"/>
      <c r="AQ12" s="163" t="s">
        <v>72</v>
      </c>
      <c r="AR12" s="164"/>
      <c r="AS12" s="164"/>
      <c r="AT12" s="164"/>
      <c r="AU12" s="164"/>
      <c r="AV12" s="164"/>
      <c r="AW12" s="164"/>
      <c r="AX12" s="164"/>
      <c r="AY12" s="164"/>
      <c r="AZ12" s="164"/>
      <c r="BA12" s="164"/>
      <c r="BB12" s="165"/>
      <c r="BC12" s="10" t="s">
        <v>109</v>
      </c>
      <c r="BD12" s="169"/>
      <c r="BE12" s="169"/>
      <c r="BF12" s="169"/>
      <c r="BG12" s="169"/>
      <c r="BH12" s="170"/>
      <c r="BI12" s="120" t="str">
        <f>IF(IF(VLOOKUP('tai-data'!$H$12+2,'tai-data'!$A$22:$O$41,7,1)=0,"",VLOOKUP('tai-data'!$H$12+2,'tai-data'!$A$22:$O$41,7,1))="上段",1,"")</f>
        <v/>
      </c>
      <c r="BO12" s="115"/>
      <c r="BP12" s="116"/>
      <c r="BQ12" s="116"/>
      <c r="BR12" s="116"/>
      <c r="BS12" s="116"/>
      <c r="BT12" s="117"/>
      <c r="BU12" s="115"/>
      <c r="BV12" s="116"/>
      <c r="BW12" s="116"/>
      <c r="BX12" s="116"/>
      <c r="BY12" s="116"/>
      <c r="BZ12" s="117"/>
    </row>
    <row r="13" spans="1:79" s="9" customFormat="1" ht="19.2" x14ac:dyDescent="0.15">
      <c r="A13" s="11"/>
      <c r="B13" s="166"/>
      <c r="C13" s="167"/>
      <c r="D13" s="167"/>
      <c r="E13" s="167"/>
      <c r="F13" s="167"/>
      <c r="G13" s="167"/>
      <c r="H13" s="167"/>
      <c r="I13" s="167"/>
      <c r="J13" s="167"/>
      <c r="K13" s="167"/>
      <c r="L13" s="167"/>
      <c r="M13" s="168"/>
      <c r="N13" s="171">
        <f>IF(T12=1,IF(VLOOKUP('tai-data'!$H$12,'tai-data'!$A$22:$O$41,8,1)=0,"",VLOOKUP('tai-data'!$H$12,'tai-data'!$A$22:$O$41,8,1)),"")</f>
        <v>50000000</v>
      </c>
      <c r="O13" s="172"/>
      <c r="P13" s="172"/>
      <c r="Q13" s="172"/>
      <c r="R13" s="172"/>
      <c r="S13" s="173"/>
      <c r="T13" s="174">
        <f>IF(T12=1,IF(VLOOKUP('tai-data'!$H$12,'tai-data'!$A$22:$O$41,9,1)=0,"",VLOOKUP('tai-data'!$H$12,'tai-data'!$A$22:$O$41,9,1)),"")</f>
        <v>5555555</v>
      </c>
      <c r="U13" s="174"/>
      <c r="V13" s="174"/>
      <c r="W13" s="174"/>
      <c r="X13" s="174"/>
      <c r="Y13" s="174"/>
      <c r="Z13" s="174">
        <f>IF(T12=1,IF(VLOOKUP('tai-data'!$H$12,'tai-data'!$A$22:$O$41,10,1)=0,"",VLOOKUP('tai-data'!$H$12,'tai-data'!$A$22:$O$41,10,1)),"")</f>
        <v>555555</v>
      </c>
      <c r="AA13" s="174"/>
      <c r="AB13" s="174"/>
      <c r="AC13" s="174"/>
      <c r="AD13" s="174"/>
      <c r="AE13" s="174"/>
      <c r="AF13" s="174">
        <f>IF(T12=1,IF(VLOOKUP('tai-data'!$H$12,'tai-data'!$A$22:$O$41,11,1)=0,"",VLOOKUP('tai-data'!$H$12,'tai-data'!$A$22:$O$41,11,1)),"")</f>
        <v>55555</v>
      </c>
      <c r="AG13" s="174"/>
      <c r="AH13" s="174"/>
      <c r="AI13" s="174"/>
      <c r="AJ13" s="174"/>
      <c r="AK13" s="174"/>
      <c r="AL13" s="14"/>
      <c r="AM13" s="14"/>
      <c r="AN13" s="14"/>
      <c r="AO13" s="14"/>
      <c r="AP13" s="14"/>
      <c r="AQ13" s="166"/>
      <c r="AR13" s="167"/>
      <c r="AS13" s="167"/>
      <c r="AT13" s="167"/>
      <c r="AU13" s="167"/>
      <c r="AV13" s="167"/>
      <c r="AW13" s="167"/>
      <c r="AX13" s="167"/>
      <c r="AY13" s="167"/>
      <c r="AZ13" s="167"/>
      <c r="BA13" s="167"/>
      <c r="BB13" s="168"/>
      <c r="BC13" s="171" t="str">
        <f>IF(BI12=1,IF(VLOOKUP('tai-data'!$H$12+2,'tai-data'!$A$22:$O$41,8,1)=0,"",VLOOKUP('tai-data'!$H$12+2,'tai-data'!$A$22:$O$41,8,1)),"")</f>
        <v/>
      </c>
      <c r="BD13" s="172"/>
      <c r="BE13" s="172"/>
      <c r="BF13" s="172"/>
      <c r="BG13" s="172"/>
      <c r="BH13" s="173"/>
      <c r="BI13" s="174" t="str">
        <f>IF(BI12=1,IF(VLOOKUP('tai-data'!$H$12+2,'tai-data'!$A$22:$O$41,9,1)=0,"",VLOOKUP('tai-data'!$H$12+2,'tai-data'!$A$22:$O$41,9,1)),"")</f>
        <v/>
      </c>
      <c r="BJ13" s="174"/>
      <c r="BK13" s="174"/>
      <c r="BL13" s="174"/>
      <c r="BM13" s="174"/>
      <c r="BN13" s="174"/>
      <c r="BO13" s="174" t="str">
        <f>IF(BI12=1,IF(VLOOKUP('tai-data'!$H$12+2,'tai-data'!$A$22:$O$41,10,1)=0,"",VLOOKUP('tai-data'!$H$12+2,'tai-data'!$A$22:$O$41,10,1)),"")</f>
        <v/>
      </c>
      <c r="BP13" s="174"/>
      <c r="BQ13" s="174"/>
      <c r="BR13" s="174"/>
      <c r="BS13" s="174"/>
      <c r="BT13" s="174"/>
      <c r="BU13" s="174" t="str">
        <f>IF(BI12=1,IF(VLOOKUP('tai-data'!$H$12+2,'tai-data'!$A$22:$O$41,11,1)=0,"",VLOOKUP('tai-data'!$H$12+2,'tai-data'!$A$22:$O$41,11,1)),"")</f>
        <v/>
      </c>
      <c r="BV13" s="174"/>
      <c r="BW13" s="174"/>
      <c r="BX13" s="174"/>
      <c r="BY13" s="174"/>
      <c r="BZ13" s="174"/>
    </row>
    <row r="14" spans="1:79" s="12" customFormat="1" ht="9.6" x14ac:dyDescent="0.15">
      <c r="B14" s="163" t="s">
        <v>73</v>
      </c>
      <c r="C14" s="164"/>
      <c r="D14" s="164"/>
      <c r="E14" s="164"/>
      <c r="F14" s="164"/>
      <c r="G14" s="164"/>
      <c r="H14" s="164"/>
      <c r="I14" s="164"/>
      <c r="J14" s="164"/>
      <c r="K14" s="164"/>
      <c r="L14" s="164"/>
      <c r="M14" s="165"/>
      <c r="N14" s="10" t="s">
        <v>109</v>
      </c>
      <c r="O14" s="169"/>
      <c r="P14" s="169"/>
      <c r="Q14" s="169"/>
      <c r="R14" s="169"/>
      <c r="S14" s="170"/>
      <c r="T14" s="121" t="str">
        <f>IF(IF(VLOOKUP('tai-data'!$H$12,'tai-data'!$A$22:$O$41,7,1)=0,"",VLOOKUP('tai-data'!$H$12,'tai-data'!$A$22:$O$41,7,1))="中段",1,"")</f>
        <v/>
      </c>
      <c r="Z14" s="119"/>
      <c r="AA14" s="90"/>
      <c r="AB14" s="90"/>
      <c r="AC14" s="90"/>
      <c r="AD14" s="90"/>
      <c r="AE14" s="91"/>
      <c r="AF14" s="119"/>
      <c r="AG14" s="90"/>
      <c r="AH14" s="90"/>
      <c r="AI14" s="90"/>
      <c r="AJ14" s="90"/>
      <c r="AK14" s="91"/>
      <c r="AL14" s="14"/>
      <c r="AM14" s="14"/>
      <c r="AN14" s="14"/>
      <c r="AO14" s="14"/>
      <c r="AP14" s="14"/>
      <c r="AQ14" s="163" t="s">
        <v>73</v>
      </c>
      <c r="AR14" s="164"/>
      <c r="AS14" s="164"/>
      <c r="AT14" s="164"/>
      <c r="AU14" s="164"/>
      <c r="AV14" s="164"/>
      <c r="AW14" s="164"/>
      <c r="AX14" s="164"/>
      <c r="AY14" s="164"/>
      <c r="AZ14" s="164"/>
      <c r="BA14" s="164"/>
      <c r="BB14" s="165"/>
      <c r="BC14" s="10" t="s">
        <v>109</v>
      </c>
      <c r="BD14" s="169"/>
      <c r="BE14" s="169"/>
      <c r="BF14" s="169"/>
      <c r="BG14" s="169"/>
      <c r="BH14" s="170"/>
      <c r="BI14" s="121" t="str">
        <f>IF(IF(VLOOKUP('tai-data'!$H$12+2,'tai-data'!$A$22:$O$41,7,1)=0,"",VLOOKUP('tai-data'!$H$12+2,'tai-data'!$A$22:$O$41,7,1))="中段",1,"")</f>
        <v/>
      </c>
      <c r="BO14" s="119"/>
      <c r="BP14" s="90"/>
      <c r="BQ14" s="90"/>
      <c r="BR14" s="90"/>
      <c r="BS14" s="90"/>
      <c r="BT14" s="91"/>
      <c r="BU14" s="119"/>
      <c r="BV14" s="90"/>
      <c r="BW14" s="90"/>
      <c r="BX14" s="90"/>
      <c r="BY14" s="90"/>
      <c r="BZ14" s="91"/>
    </row>
    <row r="15" spans="1:79" s="9" customFormat="1" ht="19.2" x14ac:dyDescent="0.15">
      <c r="A15" s="11"/>
      <c r="B15" s="166"/>
      <c r="C15" s="167"/>
      <c r="D15" s="167"/>
      <c r="E15" s="167"/>
      <c r="F15" s="167"/>
      <c r="G15" s="167"/>
      <c r="H15" s="167"/>
      <c r="I15" s="167"/>
      <c r="J15" s="167"/>
      <c r="K15" s="167"/>
      <c r="L15" s="167"/>
      <c r="M15" s="168"/>
      <c r="N15" s="171" t="str">
        <f>IF(T14=1,IF(VLOOKUP('tai-data'!$H$12,'tai-data'!$A$22:$O$41,8,1)=0,"",VLOOKUP('tai-data'!$H$12,'tai-data'!$A$22:$O$41,8,1)),"")</f>
        <v/>
      </c>
      <c r="O15" s="172"/>
      <c r="P15" s="172"/>
      <c r="Q15" s="172"/>
      <c r="R15" s="172"/>
      <c r="S15" s="173"/>
      <c r="T15" s="174" t="str">
        <f>IF(T14=1,IF(VLOOKUP('tai-data'!$H$12,'tai-data'!$A$22:$O$41,9,1)=0,"",VLOOKUP('tai-data'!$H$12,'tai-data'!$A$22:$O$41,9,1)),"")</f>
        <v/>
      </c>
      <c r="U15" s="174"/>
      <c r="V15" s="174"/>
      <c r="W15" s="174"/>
      <c r="X15" s="174"/>
      <c r="Y15" s="174"/>
      <c r="Z15" s="174" t="str">
        <f>IF(T14=1,IF(VLOOKUP('tai-data'!$H$12,'tai-data'!$A$22:$O$41,10,1)=0,"",VLOOKUP('tai-data'!$H$12,'tai-data'!$A$22:$O$41,10,1)),"")</f>
        <v/>
      </c>
      <c r="AA15" s="174"/>
      <c r="AB15" s="174"/>
      <c r="AC15" s="174"/>
      <c r="AD15" s="174"/>
      <c r="AE15" s="174"/>
      <c r="AF15" s="174" t="str">
        <f>IF(T14=1,IF(VLOOKUP('tai-data'!$H$12,'tai-data'!$A$22:$O$41,11,1)=0,"",VLOOKUP('tai-data'!$H$12,'tai-data'!$A$22:$O$41,11,1)),"")</f>
        <v/>
      </c>
      <c r="AG15" s="174"/>
      <c r="AH15" s="174"/>
      <c r="AI15" s="174"/>
      <c r="AJ15" s="174"/>
      <c r="AK15" s="174"/>
      <c r="AL15" s="14"/>
      <c r="AM15" s="14"/>
      <c r="AN15" s="14"/>
      <c r="AO15" s="14"/>
      <c r="AP15" s="14"/>
      <c r="AQ15" s="166"/>
      <c r="AR15" s="167"/>
      <c r="AS15" s="167"/>
      <c r="AT15" s="167"/>
      <c r="AU15" s="167"/>
      <c r="AV15" s="167"/>
      <c r="AW15" s="167"/>
      <c r="AX15" s="167"/>
      <c r="AY15" s="167"/>
      <c r="AZ15" s="167"/>
      <c r="BA15" s="167"/>
      <c r="BB15" s="168"/>
      <c r="BC15" s="171" t="str">
        <f>IF(BI14=1,IF(VLOOKUP('tai-data'!$H$12+2,'tai-data'!$A$22:$O$41,8,1)=0,"",VLOOKUP('tai-data'!$H$12+2,'tai-data'!$A$22:$O$41,8,1)),"")</f>
        <v/>
      </c>
      <c r="BD15" s="172"/>
      <c r="BE15" s="172"/>
      <c r="BF15" s="172"/>
      <c r="BG15" s="172"/>
      <c r="BH15" s="173"/>
      <c r="BI15" s="174" t="str">
        <f>IF(BI14=1,IF(VLOOKUP('tai-data'!$H$12+2,'tai-data'!$A$22:$O$41,9,1)=0,"",VLOOKUP('tai-data'!$H$12+2,'tai-data'!$A$22:$O$41,9,1)),"")</f>
        <v/>
      </c>
      <c r="BJ15" s="174"/>
      <c r="BK15" s="174"/>
      <c r="BL15" s="174"/>
      <c r="BM15" s="174"/>
      <c r="BN15" s="174"/>
      <c r="BO15" s="174" t="str">
        <f>IF(BI14=1,IF(VLOOKUP('tai-data'!$H$12+2,'tai-data'!$A$22:$O$41,10,1)=0,"",VLOOKUP('tai-data'!$H$12+2,'tai-data'!$A$22:$O$41,10,1)),"")</f>
        <v/>
      </c>
      <c r="BP15" s="174"/>
      <c r="BQ15" s="174"/>
      <c r="BR15" s="174"/>
      <c r="BS15" s="174"/>
      <c r="BT15" s="174"/>
      <c r="BU15" s="174" t="str">
        <f>IF(BI14=1,IF(VLOOKUP('tai-data'!$H$12+2,'tai-data'!$A$22:$O$41,11,1)=0,"",VLOOKUP('tai-data'!$H$12+2,'tai-data'!$A$22:$O$41,11,1)),"")</f>
        <v/>
      </c>
      <c r="BV15" s="174"/>
      <c r="BW15" s="174"/>
      <c r="BX15" s="174"/>
      <c r="BY15" s="174"/>
      <c r="BZ15" s="174"/>
    </row>
    <row r="16" spans="1:79" s="12" customFormat="1" ht="9.6" x14ac:dyDescent="0.15">
      <c r="B16" s="163" t="s">
        <v>74</v>
      </c>
      <c r="C16" s="164"/>
      <c r="D16" s="164"/>
      <c r="E16" s="164"/>
      <c r="F16" s="164"/>
      <c r="G16" s="164"/>
      <c r="H16" s="164"/>
      <c r="I16" s="164"/>
      <c r="J16" s="164"/>
      <c r="K16" s="164"/>
      <c r="L16" s="164"/>
      <c r="M16" s="165"/>
      <c r="N16" s="10" t="s">
        <v>109</v>
      </c>
      <c r="O16" s="169"/>
      <c r="P16" s="169"/>
      <c r="Q16" s="169"/>
      <c r="R16" s="169"/>
      <c r="S16" s="170"/>
      <c r="T16" s="121" t="str">
        <f>IF(IF(VLOOKUP('tai-data'!$H$12,'tai-data'!$A$22:$O$41,7,1)=0,"",VLOOKUP('tai-data'!$H$12,'tai-data'!$A$22:$O$41,7,1))="下段",1,"")</f>
        <v/>
      </c>
      <c r="Z16" s="119"/>
      <c r="AA16" s="90"/>
      <c r="AB16" s="90"/>
      <c r="AC16" s="90"/>
      <c r="AD16" s="90"/>
      <c r="AE16" s="91"/>
      <c r="AF16" s="119"/>
      <c r="AG16" s="90"/>
      <c r="AH16" s="90"/>
      <c r="AI16" s="90"/>
      <c r="AJ16" s="90"/>
      <c r="AK16" s="91"/>
      <c r="AL16" s="14"/>
      <c r="AM16" s="14"/>
      <c r="AN16" s="14"/>
      <c r="AO16" s="14"/>
      <c r="AP16" s="14"/>
      <c r="AQ16" s="163" t="s">
        <v>74</v>
      </c>
      <c r="AR16" s="164"/>
      <c r="AS16" s="164"/>
      <c r="AT16" s="164"/>
      <c r="AU16" s="164"/>
      <c r="AV16" s="164"/>
      <c r="AW16" s="164"/>
      <c r="AX16" s="164"/>
      <c r="AY16" s="164"/>
      <c r="AZ16" s="164"/>
      <c r="BA16" s="164"/>
      <c r="BB16" s="165"/>
      <c r="BC16" s="10" t="s">
        <v>109</v>
      </c>
      <c r="BD16" s="169"/>
      <c r="BE16" s="169"/>
      <c r="BF16" s="169"/>
      <c r="BG16" s="169"/>
      <c r="BH16" s="170"/>
      <c r="BI16" s="121">
        <f>IF(IF(VLOOKUP('tai-data'!$H$12+2,'tai-data'!$A$22:$O$41,7,1)=0,"",VLOOKUP('tai-data'!$H$12+2,'tai-data'!$A$22:$O$41,7,1))="下段",1,"")</f>
        <v>1</v>
      </c>
      <c r="BO16" s="119"/>
      <c r="BP16" s="90"/>
      <c r="BQ16" s="90"/>
      <c r="BR16" s="90"/>
      <c r="BS16" s="90"/>
      <c r="BT16" s="91"/>
      <c r="BU16" s="119"/>
      <c r="BV16" s="90"/>
      <c r="BW16" s="90"/>
      <c r="BX16" s="90"/>
      <c r="BY16" s="90"/>
      <c r="BZ16" s="91"/>
    </row>
    <row r="17" spans="1:79" s="9" customFormat="1" ht="19.2" x14ac:dyDescent="0.15">
      <c r="A17" s="11"/>
      <c r="B17" s="166"/>
      <c r="C17" s="167"/>
      <c r="D17" s="167"/>
      <c r="E17" s="167"/>
      <c r="F17" s="167"/>
      <c r="G17" s="167"/>
      <c r="H17" s="167"/>
      <c r="I17" s="167"/>
      <c r="J17" s="167"/>
      <c r="K17" s="167"/>
      <c r="L17" s="167"/>
      <c r="M17" s="168"/>
      <c r="N17" s="171" t="str">
        <f>IF(T16=1,IF(VLOOKUP('tai-data'!$H$12,'tai-data'!$A$22:$O$41,8,1)=0,"",VLOOKUP('tai-data'!$H$12,'tai-data'!$A$22:$O$41,8,1)),"")</f>
        <v/>
      </c>
      <c r="O17" s="172"/>
      <c r="P17" s="172"/>
      <c r="Q17" s="172"/>
      <c r="R17" s="172"/>
      <c r="S17" s="173"/>
      <c r="T17" s="174" t="str">
        <f>IF(T16=1,IF(VLOOKUP('tai-data'!$H$12,'tai-data'!$A$22:$O$41,9,1)=0,"",VLOOKUP('tai-data'!$H$12,'tai-data'!$A$22:$O$41,9,1)),"")</f>
        <v/>
      </c>
      <c r="U17" s="174"/>
      <c r="V17" s="174"/>
      <c r="W17" s="174"/>
      <c r="X17" s="174"/>
      <c r="Y17" s="174"/>
      <c r="Z17" s="174" t="str">
        <f>IF(T16=1,IF(VLOOKUP('tai-data'!$H$12,'tai-data'!$A$22:$O$41,10,1)=0,"",VLOOKUP('tai-data'!$H$12,'tai-data'!$A$22:$O$41,10,1)),"")</f>
        <v/>
      </c>
      <c r="AA17" s="174"/>
      <c r="AB17" s="174"/>
      <c r="AC17" s="174"/>
      <c r="AD17" s="174"/>
      <c r="AE17" s="174"/>
      <c r="AF17" s="174" t="str">
        <f>IF(T16=1,IF(VLOOKUP('tai-data'!$H$12,'tai-data'!$A$22:$O$41,11,1)=0,"",VLOOKUP('tai-data'!$H$12,'tai-data'!$A$22:$O$41,11,1)),"")</f>
        <v/>
      </c>
      <c r="AG17" s="174"/>
      <c r="AH17" s="174"/>
      <c r="AI17" s="174"/>
      <c r="AJ17" s="174"/>
      <c r="AK17" s="174"/>
      <c r="AL17" s="14"/>
      <c r="AM17" s="14"/>
      <c r="AN17" s="14"/>
      <c r="AO17" s="14"/>
      <c r="AP17" s="14"/>
      <c r="AQ17" s="166"/>
      <c r="AR17" s="167"/>
      <c r="AS17" s="167"/>
      <c r="AT17" s="167"/>
      <c r="AU17" s="167"/>
      <c r="AV17" s="167"/>
      <c r="AW17" s="167"/>
      <c r="AX17" s="167"/>
      <c r="AY17" s="167"/>
      <c r="AZ17" s="167"/>
      <c r="BA17" s="167"/>
      <c r="BB17" s="168"/>
      <c r="BC17" s="171">
        <f>IF(BI16=1,IF(VLOOKUP('tai-data'!$H$12+2,'tai-data'!$A$22:$O$41,8,1)=0,"",VLOOKUP('tai-data'!$H$12+2,'tai-data'!$A$22:$O$41,8,1)),"")</f>
        <v>30000000</v>
      </c>
      <c r="BD17" s="172"/>
      <c r="BE17" s="172"/>
      <c r="BF17" s="172"/>
      <c r="BG17" s="172"/>
      <c r="BH17" s="173"/>
      <c r="BI17" s="174">
        <f>IF(BI16=1,IF(VLOOKUP('tai-data'!$H$12+2,'tai-data'!$A$22:$O$41,9,1)=0,"",VLOOKUP('tai-data'!$H$12+2,'tai-data'!$A$22:$O$41,9,1)),"")</f>
        <v>3333333</v>
      </c>
      <c r="BJ17" s="174"/>
      <c r="BK17" s="174"/>
      <c r="BL17" s="174"/>
      <c r="BM17" s="174"/>
      <c r="BN17" s="174"/>
      <c r="BO17" s="174">
        <f>IF(BI16=1,IF(VLOOKUP('tai-data'!$H$12+2,'tai-data'!$A$22:$O$41,10,1)=0,"",VLOOKUP('tai-data'!$H$12+2,'tai-data'!$A$22:$O$41,10,1)),"")</f>
        <v>333333</v>
      </c>
      <c r="BP17" s="174"/>
      <c r="BQ17" s="174"/>
      <c r="BR17" s="174"/>
      <c r="BS17" s="174"/>
      <c r="BT17" s="174"/>
      <c r="BU17" s="174">
        <f>IF(BI16=1,IF(VLOOKUP('tai-data'!$H$12+2,'tai-data'!$A$22:$O$41,11,1)=0,"",VLOOKUP('tai-data'!$H$12+2,'tai-data'!$A$22:$O$41,11,1)),"")</f>
        <v>33333</v>
      </c>
      <c r="BV17" s="174"/>
      <c r="BW17" s="174"/>
      <c r="BX17" s="174"/>
      <c r="BY17" s="174"/>
      <c r="BZ17" s="174"/>
    </row>
    <row r="18" spans="1:79" s="12" customFormat="1" ht="9.6" x14ac:dyDescent="0.15">
      <c r="B18" s="138" t="s">
        <v>110</v>
      </c>
      <c r="C18" s="139"/>
      <c r="D18" s="139"/>
      <c r="E18" s="139"/>
      <c r="F18" s="139"/>
      <c r="G18" s="139"/>
      <c r="H18" s="139"/>
      <c r="I18" s="139"/>
      <c r="J18" s="139"/>
      <c r="K18" s="138" t="s">
        <v>77</v>
      </c>
      <c r="L18" s="139"/>
      <c r="M18" s="139"/>
      <c r="N18" s="139"/>
      <c r="O18" s="139"/>
      <c r="P18" s="139"/>
      <c r="Q18" s="139"/>
      <c r="R18" s="139"/>
      <c r="S18" s="139"/>
      <c r="T18" s="138" t="s">
        <v>79</v>
      </c>
      <c r="U18" s="139"/>
      <c r="V18" s="139"/>
      <c r="W18" s="139"/>
      <c r="X18" s="139"/>
      <c r="Y18" s="139"/>
      <c r="Z18" s="139"/>
      <c r="AA18" s="139"/>
      <c r="AB18" s="139"/>
      <c r="AC18" s="201" t="s">
        <v>81</v>
      </c>
      <c r="AD18" s="201"/>
      <c r="AE18" s="201"/>
      <c r="AF18" s="201"/>
      <c r="AG18" s="201"/>
      <c r="AH18" s="201"/>
      <c r="AI18" s="201"/>
      <c r="AJ18" s="201"/>
      <c r="AK18" s="201"/>
      <c r="AL18" s="14"/>
      <c r="AM18" s="14"/>
      <c r="AN18" s="14"/>
      <c r="AO18" s="14"/>
      <c r="AP18" s="14"/>
      <c r="AQ18" s="138" t="s">
        <v>75</v>
      </c>
      <c r="AR18" s="139"/>
      <c r="AS18" s="139"/>
      <c r="AT18" s="139"/>
      <c r="AU18" s="139"/>
      <c r="AV18" s="139"/>
      <c r="AW18" s="139"/>
      <c r="AX18" s="139"/>
      <c r="AY18" s="139"/>
      <c r="AZ18" s="138" t="s">
        <v>77</v>
      </c>
      <c r="BA18" s="139"/>
      <c r="BB18" s="139"/>
      <c r="BC18" s="139"/>
      <c r="BD18" s="139"/>
      <c r="BE18" s="139"/>
      <c r="BF18" s="139"/>
      <c r="BG18" s="139"/>
      <c r="BH18" s="139"/>
      <c r="BI18" s="138" t="s">
        <v>79</v>
      </c>
      <c r="BJ18" s="139"/>
      <c r="BK18" s="139"/>
      <c r="BL18" s="139"/>
      <c r="BM18" s="139"/>
      <c r="BN18" s="139"/>
      <c r="BO18" s="139"/>
      <c r="BP18" s="139"/>
      <c r="BQ18" s="139"/>
      <c r="BR18" s="201" t="s">
        <v>81</v>
      </c>
      <c r="BS18" s="201"/>
      <c r="BT18" s="201"/>
      <c r="BU18" s="201"/>
      <c r="BV18" s="201"/>
      <c r="BW18" s="201"/>
      <c r="BX18" s="201"/>
      <c r="BY18" s="201"/>
      <c r="BZ18" s="201"/>
    </row>
    <row r="19" spans="1:79" s="12" customFormat="1" ht="14.4" x14ac:dyDescent="0.15">
      <c r="A19" s="5"/>
      <c r="B19" s="140">
        <f>IF(K19&lt;=2,80,IF(tai!K19&lt;=20,tai!K19*40,800+((tai!K19-20)*70)))</f>
        <v>870</v>
      </c>
      <c r="C19" s="141"/>
      <c r="D19" s="141"/>
      <c r="E19" s="141"/>
      <c r="F19" s="141"/>
      <c r="G19" s="141"/>
      <c r="H19" s="141"/>
      <c r="I19" s="108"/>
      <c r="J19" s="109" t="s">
        <v>82</v>
      </c>
      <c r="K19" s="142">
        <f>IF(VLOOKUP('tai-data'!$H$12,'tai-data'!$A$22:$O$41,12,1)=0,"",VLOOKUP('tai-data'!$H$12,'tai-data'!$A$22:$O$41,12,1))</f>
        <v>21</v>
      </c>
      <c r="L19" s="143"/>
      <c r="M19" s="143"/>
      <c r="N19" s="143"/>
      <c r="O19" s="143"/>
      <c r="P19" s="143"/>
      <c r="Q19" s="143"/>
      <c r="R19" s="110"/>
      <c r="S19" s="109" t="s">
        <v>83</v>
      </c>
      <c r="T19" s="144">
        <f>IF(VLOOKUP('tai-data'!$H$12,'tai-data'!$A$22:$O$41,13,1)=0,"",VLOOKUP('tai-data'!$H$12,'tai-data'!$A$22:$O$41,13,1))</f>
        <v>32509</v>
      </c>
      <c r="U19" s="145"/>
      <c r="V19" s="145"/>
      <c r="W19" s="145"/>
      <c r="X19" s="145"/>
      <c r="Y19" s="145"/>
      <c r="Z19" s="145"/>
      <c r="AA19" s="145"/>
      <c r="AB19" s="145"/>
      <c r="AC19" s="144">
        <f>IF(VLOOKUP('tai-data'!$H$12,'tai-data'!$A$22:$O$41,14,1)=0,"",VLOOKUP('tai-data'!$H$12,'tai-data'!$A$22:$O$41,14,1))</f>
        <v>42547</v>
      </c>
      <c r="AD19" s="145"/>
      <c r="AE19" s="145"/>
      <c r="AF19" s="145"/>
      <c r="AG19" s="145"/>
      <c r="AH19" s="145"/>
      <c r="AI19" s="145"/>
      <c r="AJ19" s="145"/>
      <c r="AK19" s="146"/>
      <c r="AL19" s="14"/>
      <c r="AM19" s="14"/>
      <c r="AN19" s="14"/>
      <c r="AO19" s="14"/>
      <c r="AP19" s="14"/>
      <c r="AQ19" s="140">
        <f>IF(AZ19&lt;=2,80,IF(tai!AZ19&lt;=20,tai!AZ19*40,800+((tai!AZ19-20)*70)))</f>
        <v>1710</v>
      </c>
      <c r="AR19" s="141"/>
      <c r="AS19" s="141"/>
      <c r="AT19" s="141"/>
      <c r="AU19" s="141"/>
      <c r="AV19" s="141"/>
      <c r="AW19" s="141"/>
      <c r="AX19" s="108"/>
      <c r="AY19" s="109" t="s">
        <v>82</v>
      </c>
      <c r="AZ19" s="142">
        <f>IF(VLOOKUP('tai-data'!$H$12+2,'tai-data'!$A$22:$O$41,12,1)=0,"",VLOOKUP('tai-data'!$H$12+2,'tai-data'!$A$22:$O$41,12,1))</f>
        <v>33</v>
      </c>
      <c r="BA19" s="143"/>
      <c r="BB19" s="143"/>
      <c r="BC19" s="143"/>
      <c r="BD19" s="143"/>
      <c r="BE19" s="143"/>
      <c r="BF19" s="143"/>
      <c r="BG19" s="110"/>
      <c r="BH19" s="109" t="s">
        <v>83</v>
      </c>
      <c r="BI19" s="144">
        <f>IF(VLOOKUP('tai-data'!$H$12+2,'tai-data'!$A$22:$O$41,13,1)=0,"",VLOOKUP('tai-data'!$H$12+2,'tai-data'!$A$22:$O$41,13,1))</f>
        <v>33300</v>
      </c>
      <c r="BJ19" s="145"/>
      <c r="BK19" s="145"/>
      <c r="BL19" s="145"/>
      <c r="BM19" s="145"/>
      <c r="BN19" s="145"/>
      <c r="BO19" s="145"/>
      <c r="BP19" s="145"/>
      <c r="BQ19" s="145"/>
      <c r="BR19" s="144">
        <f>IF(VLOOKUP('tai-data'!$H$12+2,'tai-data'!$A$22:$O$41,14,1)=0,"",VLOOKUP('tai-data'!$H$12+2,'tai-data'!$A$22:$O$41,14,1))</f>
        <v>42549</v>
      </c>
      <c r="BS19" s="145"/>
      <c r="BT19" s="145"/>
      <c r="BU19" s="145"/>
      <c r="BV19" s="145"/>
      <c r="BW19" s="145"/>
      <c r="BX19" s="145"/>
      <c r="BY19" s="145"/>
      <c r="BZ19" s="146"/>
    </row>
    <row r="20" spans="1:79" ht="16.2" x14ac:dyDescent="0.15">
      <c r="A20" s="107"/>
      <c r="B20" s="147" t="s">
        <v>0</v>
      </c>
      <c r="C20" s="148"/>
      <c r="D20" s="148"/>
      <c r="E20" s="149" t="str">
        <f>VLOOKUP('tai-data'!$H$12,'tai-data'!$A$22:$O$41,15,1)&amp;""</f>
        <v>摘要1</v>
      </c>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50"/>
      <c r="AQ20" s="147" t="s">
        <v>0</v>
      </c>
      <c r="AR20" s="148"/>
      <c r="AS20" s="148"/>
      <c r="AT20" s="149" t="str">
        <f>VLOOKUP('tai-data'!$H$12+2,'tai-data'!$A$22:$O$41,15,1)&amp;""</f>
        <v>摘要3</v>
      </c>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50"/>
    </row>
    <row r="21" spans="1:79" ht="19.2" x14ac:dyDescent="0.15">
      <c r="A21" s="11"/>
      <c r="B21" s="151" t="s">
        <v>18</v>
      </c>
      <c r="C21" s="152"/>
      <c r="D21" s="152"/>
      <c r="E21" s="157" t="s">
        <v>15</v>
      </c>
      <c r="F21" s="158"/>
      <c r="G21" s="158"/>
      <c r="H21" s="159"/>
      <c r="I21" s="80" t="str">
        <f>IF($U$21="","",IF('tai-data'!$C$13="","",IF('tai-data'!$C$13&lt;1000000000000,"",LEFT((RIGHT('tai-data'!$C$13+10000000000000,13)),1))))</f>
        <v/>
      </c>
      <c r="J21" s="78" t="str">
        <f>IF($U$21="","",IF('tai-data'!$C$13="","",LEFT((RIGHT('tai-data'!$C$13+10000000000000,12)),1)))</f>
        <v/>
      </c>
      <c r="K21" s="77" t="str">
        <f>IF($U$21="","",IF('tai-data'!$C$13="","",LEFT((RIGHT('tai-data'!$C$13+10000000000000,11)),1)))</f>
        <v/>
      </c>
      <c r="L21" s="77" t="str">
        <f>IF($U$21="","",IF('tai-data'!$C$13="","",LEFT((RIGHT('tai-data'!$C$13+10000000000000,10)),1)))</f>
        <v/>
      </c>
      <c r="M21" s="79" t="str">
        <f>IF($U$21="","",IF('tai-data'!$C$13="","",LEFT((RIGHT('tai-data'!$C$13+10000000000000,9)),1)))</f>
        <v/>
      </c>
      <c r="N21" s="78" t="str">
        <f>IF($U$21="","",IF('tai-data'!$C$13="","",LEFT((RIGHT('tai-data'!$C$13+10000000000000,8)),1)))</f>
        <v/>
      </c>
      <c r="O21" s="77" t="str">
        <f>IF($U$21="","",IF('tai-data'!$C$13="","",LEFT((RIGHT('tai-data'!$C$13+10000000000000,7)),1)))</f>
        <v/>
      </c>
      <c r="P21" s="77" t="str">
        <f>IF($U$21="","",IF('tai-data'!$C$13="","",LEFT((RIGHT('tai-data'!$C$13+10000000000000,6)),1)))</f>
        <v/>
      </c>
      <c r="Q21" s="76" t="str">
        <f>IF($U$21="","",IF('tai-data'!$C$13="","",LEFT((RIGHT('tai-data'!$C$13+10000000000000,5)),1)))</f>
        <v/>
      </c>
      <c r="R21" s="78" t="str">
        <f>IF($U$21="","",IF('tai-data'!$C$13="","",LEFT((RIGHT('tai-data'!$C$13+10000000000000,4)),1)))</f>
        <v/>
      </c>
      <c r="S21" s="77" t="str">
        <f>IF($U$21="","",IF('tai-data'!$C$13="","",LEFT((RIGHT('tai-data'!$C$13+10000000000000,3)),1)))</f>
        <v/>
      </c>
      <c r="T21" s="77" t="str">
        <f>IF($U$21="","",IF('tai-data'!$C$13="","",LEFT((RIGHT('tai-data'!$C$13+10000000000000,2)),1)))</f>
        <v/>
      </c>
      <c r="U21" s="81" t="str">
        <f>IF('tai-data'!$H$15="印字しない","",IF('tai-data'!$C$13="","",LEFT((RIGHT('tai-data'!$C$13+10000000000000,1)),1)))</f>
        <v/>
      </c>
      <c r="V21" s="12" t="s">
        <v>84</v>
      </c>
      <c r="Y21" s="4"/>
      <c r="Z21" s="4"/>
      <c r="AA21" s="4"/>
      <c r="AB21" s="4"/>
      <c r="AC21" s="4"/>
      <c r="AD21" s="4"/>
      <c r="AE21" s="4"/>
      <c r="AF21" s="4"/>
      <c r="AG21" s="4"/>
      <c r="AH21" s="4"/>
      <c r="AI21" s="72"/>
      <c r="AJ21" s="72"/>
      <c r="AK21" s="73"/>
      <c r="AQ21" s="151" t="s">
        <v>18</v>
      </c>
      <c r="AR21" s="152"/>
      <c r="AS21" s="152"/>
      <c r="AT21" s="157" t="s">
        <v>15</v>
      </c>
      <c r="AU21" s="158"/>
      <c r="AV21" s="158"/>
      <c r="AW21" s="159"/>
      <c r="AX21" s="85" t="str">
        <f>IF($U$21="","",IF('tai-data'!$C$13="","",IF('tai-data'!$C$13&lt;1000000000000,"",LEFT((RIGHT('tai-data'!$C$13+10000000000000,13)),1))))</f>
        <v/>
      </c>
      <c r="AY21" s="84" t="str">
        <f>IF($U$21="","",IF('tai-data'!$C$13="","",LEFT((RIGHT('tai-data'!$C$13+10000000000000,12)),1)))</f>
        <v/>
      </c>
      <c r="AZ21" s="82" t="str">
        <f>IF($U$21="","",IF('tai-data'!$C$13="","",LEFT((RIGHT('tai-data'!$C$13+10000000000000,11)),1)))</f>
        <v/>
      </c>
      <c r="BA21" s="82" t="str">
        <f>IF($U$21="","",IF('tai-data'!$C$13="","",LEFT((RIGHT('tai-data'!$C$13+10000000000000,10)),1)))</f>
        <v/>
      </c>
      <c r="BB21" s="86" t="str">
        <f>IF($U$21="","",IF('tai-data'!$C$13="","",LEFT((RIGHT('tai-data'!$C$13+10000000000000,9)),1)))</f>
        <v/>
      </c>
      <c r="BC21" s="84" t="str">
        <f>IF($U$21="","",IF('tai-data'!$C$13="","",LEFT((RIGHT('tai-data'!$C$13+10000000000000,8)),1)))</f>
        <v/>
      </c>
      <c r="BD21" s="82" t="str">
        <f>IF($U$21="","",IF('tai-data'!$C$13="","",LEFT((RIGHT('tai-data'!$C$13+10000000000000,7)),1)))</f>
        <v/>
      </c>
      <c r="BE21" s="82" t="str">
        <f>IF($U$21="","",IF('tai-data'!$C$13="","",LEFT((RIGHT('tai-data'!$C$13+10000000000000,6)),1)))</f>
        <v/>
      </c>
      <c r="BF21" s="83" t="str">
        <f>IF($U$21="","",IF('tai-data'!$C$13="","",LEFT((RIGHT('tai-data'!$C$13+10000000000000,5)),1)))</f>
        <v/>
      </c>
      <c r="BG21" s="84" t="str">
        <f>IF($U$21="","",IF('tai-data'!$C$13="","",LEFT((RIGHT('tai-data'!$C$13+10000000000000,4)),1)))</f>
        <v/>
      </c>
      <c r="BH21" s="82" t="str">
        <f>IF($U$21="","",IF('tai-data'!$C$13="","",LEFT((RIGHT('tai-data'!$C$13+10000000000000,3)),1)))</f>
        <v/>
      </c>
      <c r="BI21" s="82" t="str">
        <f>IF($U$21="","",IF('tai-data'!$C$13="","",LEFT((RIGHT('tai-data'!$C$13+10000000000000,2)),1)))</f>
        <v/>
      </c>
      <c r="BJ21" s="87" t="str">
        <f>IF('tai-data'!$H$15="印字しない","",IF('tai-data'!$C$13="","",LEFT((RIGHT('tai-data'!$C$13+10000000000000,1)),1)))</f>
        <v/>
      </c>
      <c r="BK21" s="12" t="s">
        <v>84</v>
      </c>
      <c r="BL21" s="4"/>
      <c r="BM21" s="4"/>
      <c r="BN21" s="4"/>
      <c r="BO21" s="4"/>
      <c r="BP21" s="4"/>
      <c r="BQ21" s="4"/>
      <c r="BR21" s="4"/>
      <c r="BS21" s="4"/>
      <c r="BT21" s="4"/>
      <c r="BU21" s="4"/>
      <c r="BV21" s="4"/>
      <c r="BW21" s="4"/>
      <c r="BX21" s="92"/>
      <c r="BY21" s="92"/>
      <c r="BZ21" s="93"/>
    </row>
    <row r="22" spans="1:79" ht="19.2" x14ac:dyDescent="0.15">
      <c r="A22" s="11"/>
      <c r="B22" s="153"/>
      <c r="C22" s="154"/>
      <c r="D22" s="154"/>
      <c r="E22" s="203" t="s">
        <v>13</v>
      </c>
      <c r="F22" s="192"/>
      <c r="G22" s="192"/>
      <c r="H22" s="192"/>
      <c r="I22" s="160" t="str">
        <f>+'tai-data'!$C$10</f>
        <v>東京都千代田区御助町1-2-3御助ビル4階</v>
      </c>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2"/>
      <c r="AQ22" s="153"/>
      <c r="AR22" s="154"/>
      <c r="AS22" s="154"/>
      <c r="AT22" s="203" t="s">
        <v>13</v>
      </c>
      <c r="AU22" s="192"/>
      <c r="AV22" s="192"/>
      <c r="AW22" s="192"/>
      <c r="AX22" s="160" t="str">
        <f>+'tai-data'!$C$10</f>
        <v>東京都千代田区御助町1-2-3御助ビル4階</v>
      </c>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2"/>
    </row>
    <row r="23" spans="1:79" s="12" customFormat="1" ht="19.2" x14ac:dyDescent="0.15">
      <c r="A23" s="11"/>
      <c r="B23" s="153"/>
      <c r="C23" s="154"/>
      <c r="D23" s="154"/>
      <c r="E23" s="151" t="s">
        <v>17</v>
      </c>
      <c r="F23" s="152"/>
      <c r="G23" s="152"/>
      <c r="H23" s="152"/>
      <c r="I23" s="74" t="str">
        <f>+'tai-data'!$C$11</f>
        <v>株式会社ＲＥＳＣＵＥ ＲＡＮＧＥＲＳ</v>
      </c>
      <c r="J23" s="75"/>
      <c r="K23" s="75"/>
      <c r="L23" s="75"/>
      <c r="M23" s="75"/>
      <c r="N23" s="75"/>
      <c r="O23" s="75"/>
      <c r="P23" s="75"/>
      <c r="Q23" s="75"/>
      <c r="R23" s="75"/>
      <c r="S23" s="75"/>
      <c r="T23" s="75"/>
      <c r="U23" s="75"/>
      <c r="V23" s="75"/>
      <c r="W23" s="75"/>
      <c r="X23" s="75"/>
      <c r="Y23" s="94"/>
      <c r="Z23" s="94"/>
      <c r="AA23" s="94"/>
      <c r="AB23" s="94"/>
      <c r="AC23" s="94"/>
      <c r="AD23" s="94"/>
      <c r="AE23" s="94"/>
      <c r="AF23" s="94"/>
      <c r="AG23" s="94"/>
      <c r="AH23" s="94"/>
      <c r="AI23" s="94"/>
      <c r="AJ23" s="94"/>
      <c r="AK23" s="95"/>
      <c r="AL23" s="14"/>
      <c r="AM23" s="14"/>
      <c r="AN23" s="14"/>
      <c r="AO23" s="14"/>
      <c r="AP23" s="14"/>
      <c r="AQ23" s="153"/>
      <c r="AR23" s="154"/>
      <c r="AS23" s="154"/>
      <c r="AT23" s="151" t="s">
        <v>16</v>
      </c>
      <c r="AU23" s="152"/>
      <c r="AV23" s="152"/>
      <c r="AW23" s="152"/>
      <c r="AX23" s="88" t="str">
        <f>+'tai-data'!$C$11</f>
        <v>株式会社ＲＥＳＣＵＥ ＲＡＮＧＥＲＳ</v>
      </c>
      <c r="AY23" s="89"/>
      <c r="AZ23" s="89"/>
      <c r="BA23" s="89"/>
      <c r="BB23" s="89"/>
      <c r="BC23" s="89"/>
      <c r="BD23" s="89"/>
      <c r="BE23" s="89"/>
      <c r="BF23" s="89"/>
      <c r="BG23" s="89"/>
      <c r="BH23" s="89"/>
      <c r="BI23" s="89"/>
      <c r="BJ23" s="89"/>
      <c r="BK23" s="89"/>
      <c r="BL23" s="89"/>
      <c r="BM23" s="89"/>
      <c r="BN23" s="94"/>
      <c r="BO23" s="94"/>
      <c r="BP23" s="94"/>
      <c r="BQ23" s="94"/>
      <c r="BR23" s="94"/>
      <c r="BS23" s="94"/>
      <c r="BT23" s="94"/>
      <c r="BU23" s="94"/>
      <c r="BV23" s="94"/>
      <c r="BW23" s="94"/>
      <c r="BX23" s="94"/>
      <c r="BY23" s="94"/>
      <c r="BZ23" s="95"/>
    </row>
    <row r="24" spans="1:79" x14ac:dyDescent="0.15">
      <c r="A24" s="12"/>
      <c r="B24" s="155"/>
      <c r="C24" s="156"/>
      <c r="D24" s="156"/>
      <c r="E24" s="155"/>
      <c r="F24" s="156"/>
      <c r="G24" s="156"/>
      <c r="H24" s="156"/>
      <c r="I24" s="16"/>
      <c r="J24" s="17"/>
      <c r="K24" s="17"/>
      <c r="L24" s="18"/>
      <c r="M24" s="18"/>
      <c r="N24" s="19"/>
      <c r="O24" s="19"/>
      <c r="P24" s="18"/>
      <c r="Q24" s="18"/>
      <c r="R24" s="20" t="s">
        <v>12</v>
      </c>
      <c r="S24" s="18" t="str">
        <f>+'tai-data'!$C$12</f>
        <v>03-1234-5678</v>
      </c>
      <c r="T24" s="19"/>
      <c r="U24" s="19"/>
      <c r="V24" s="19"/>
      <c r="W24" s="19"/>
      <c r="X24" s="19"/>
      <c r="Y24" s="19"/>
      <c r="Z24" s="19"/>
      <c r="AA24" s="19"/>
      <c r="AB24" s="19"/>
      <c r="AC24" s="19"/>
      <c r="AD24" s="19"/>
      <c r="AE24" s="19"/>
      <c r="AF24" s="19"/>
      <c r="AG24" s="19"/>
      <c r="AH24" s="19"/>
      <c r="AI24" s="19"/>
      <c r="AJ24" s="19"/>
      <c r="AK24" s="21"/>
      <c r="AQ24" s="155"/>
      <c r="AR24" s="156"/>
      <c r="AS24" s="156"/>
      <c r="AT24" s="155"/>
      <c r="AU24" s="156"/>
      <c r="AV24" s="156"/>
      <c r="AW24" s="156"/>
      <c r="AX24" s="16"/>
      <c r="AY24" s="17"/>
      <c r="AZ24" s="17"/>
      <c r="BA24" s="18"/>
      <c r="BB24" s="18"/>
      <c r="BC24" s="19"/>
      <c r="BD24" s="19"/>
      <c r="BE24" s="18"/>
      <c r="BF24" s="18"/>
      <c r="BG24" s="20" t="s">
        <v>12</v>
      </c>
      <c r="BH24" s="18" t="str">
        <f>+'tai-data'!$C$12</f>
        <v>03-1234-5678</v>
      </c>
      <c r="BI24" s="19"/>
      <c r="BJ24" s="19"/>
      <c r="BK24" s="19"/>
      <c r="BL24" s="19"/>
      <c r="BM24" s="19"/>
      <c r="BN24" s="19"/>
      <c r="BO24" s="19"/>
      <c r="BP24" s="19"/>
      <c r="BQ24" s="19"/>
      <c r="BR24" s="19"/>
      <c r="BS24" s="19"/>
      <c r="BT24" s="19"/>
      <c r="BU24" s="19"/>
      <c r="BV24" s="19"/>
      <c r="BW24" s="19"/>
      <c r="BX24" s="19"/>
      <c r="BY24" s="19"/>
      <c r="BZ24" s="21"/>
    </row>
    <row r="25" spans="1:79" s="13" customFormat="1" ht="5.4" x14ac:dyDescent="0.15">
      <c r="Y25" s="31"/>
      <c r="Z25" s="31"/>
      <c r="AA25" s="31"/>
      <c r="AB25" s="31"/>
      <c r="AC25" s="31"/>
      <c r="AD25" s="31"/>
      <c r="AE25" s="31"/>
      <c r="AF25" s="31"/>
      <c r="AG25" s="31"/>
      <c r="AH25" s="31"/>
      <c r="AI25" s="31"/>
      <c r="AJ25" s="31"/>
      <c r="AK25" s="31"/>
      <c r="AL25" s="31"/>
      <c r="AM25" s="31"/>
      <c r="AN25" s="31"/>
      <c r="AO25" s="31"/>
      <c r="AP25" s="31"/>
      <c r="BN25" s="31"/>
      <c r="BO25" s="31"/>
      <c r="BP25" s="31"/>
      <c r="BQ25" s="31"/>
      <c r="BR25" s="31"/>
      <c r="BS25" s="31"/>
      <c r="BT25" s="31"/>
      <c r="BU25" s="31"/>
      <c r="BV25" s="31"/>
      <c r="BW25" s="31"/>
      <c r="BX25" s="31"/>
      <c r="BY25" s="31"/>
      <c r="BZ25" s="31"/>
    </row>
    <row r="26" spans="1:79" x14ac:dyDescent="0.15">
      <c r="B26" s="128" t="s">
        <v>42</v>
      </c>
      <c r="C26" s="129"/>
      <c r="D26" s="129"/>
      <c r="E26" s="129"/>
      <c r="F26" s="129"/>
      <c r="G26" s="129"/>
      <c r="H26" s="129"/>
      <c r="I26" s="130"/>
      <c r="J26" s="131" t="str">
        <f>IF('tai-data'!$H$15="印字しない","",IF('tai-data'!$C$14="","",+'tai-data'!$C$14))</f>
        <v/>
      </c>
      <c r="K26" s="132"/>
      <c r="L26" s="132"/>
      <c r="M26" s="132"/>
      <c r="N26" s="132"/>
      <c r="O26" s="132"/>
      <c r="P26" s="133"/>
      <c r="Q26" s="128" t="s">
        <v>41</v>
      </c>
      <c r="R26" s="129"/>
      <c r="S26" s="129"/>
      <c r="T26" s="129"/>
      <c r="U26" s="129"/>
      <c r="V26" s="129"/>
      <c r="W26" s="129"/>
      <c r="X26" s="130"/>
      <c r="Y26" s="134" t="str">
        <f>IF('tai-data'!$H$15="印字しない","",IF('tai-data'!$C$15="","",+'tai-data'!$C$15))</f>
        <v/>
      </c>
      <c r="Z26" s="135"/>
      <c r="AA26" s="135"/>
      <c r="AB26" s="135"/>
      <c r="AC26" s="135"/>
      <c r="AD26" s="135"/>
      <c r="AE26" s="135"/>
      <c r="AF26" s="135"/>
      <c r="AG26" s="135"/>
      <c r="AH26" s="135"/>
      <c r="AI26" s="135"/>
      <c r="AJ26" s="135"/>
      <c r="AK26" s="136"/>
      <c r="AL26" s="4"/>
      <c r="AM26" s="4"/>
      <c r="AN26" s="4"/>
      <c r="AO26" s="4"/>
      <c r="AP26" s="4"/>
      <c r="AQ26" s="128" t="s">
        <v>42</v>
      </c>
      <c r="AR26" s="129"/>
      <c r="AS26" s="129"/>
      <c r="AT26" s="129"/>
      <c r="AU26" s="129"/>
      <c r="AV26" s="129"/>
      <c r="AW26" s="129"/>
      <c r="AX26" s="130"/>
      <c r="AY26" s="131" t="str">
        <f>IF('tai-data'!$H$15="印字しない","",IF('tai-data'!$C$14="","",+'tai-data'!$C$14))</f>
        <v/>
      </c>
      <c r="AZ26" s="132"/>
      <c r="BA26" s="132"/>
      <c r="BB26" s="132"/>
      <c r="BC26" s="132"/>
      <c r="BD26" s="132"/>
      <c r="BE26" s="133"/>
      <c r="BF26" s="128" t="s">
        <v>41</v>
      </c>
      <c r="BG26" s="129"/>
      <c r="BH26" s="129"/>
      <c r="BI26" s="129"/>
      <c r="BJ26" s="129"/>
      <c r="BK26" s="129"/>
      <c r="BL26" s="129"/>
      <c r="BM26" s="130"/>
      <c r="BN26" s="134" t="str">
        <f>IF('tai-data'!$H$15="印字しない","",IF('tai-data'!$C$15="","",+'tai-data'!$C$15))</f>
        <v/>
      </c>
      <c r="BO26" s="135"/>
      <c r="BP26" s="135"/>
      <c r="BQ26" s="135"/>
      <c r="BR26" s="135"/>
      <c r="BS26" s="135"/>
      <c r="BT26" s="135"/>
      <c r="BU26" s="135"/>
      <c r="BV26" s="135"/>
      <c r="BW26" s="135"/>
      <c r="BX26" s="135"/>
      <c r="BY26" s="135"/>
      <c r="BZ26" s="136"/>
    </row>
    <row r="27" spans="1:79" x14ac:dyDescent="0.15">
      <c r="AJ27" s="137">
        <v>316</v>
      </c>
      <c r="AK27" s="137"/>
      <c r="AQ27" s="4"/>
      <c r="AR27" s="4"/>
      <c r="AS27" s="4"/>
      <c r="AT27" s="4"/>
      <c r="AU27" s="4"/>
      <c r="AV27" s="4"/>
      <c r="AW27" s="4"/>
      <c r="AX27" s="4"/>
      <c r="AY27" s="4"/>
      <c r="AZ27" s="4"/>
      <c r="BA27" s="4"/>
      <c r="BB27" s="4"/>
      <c r="BC27" s="4"/>
      <c r="BD27" s="4"/>
      <c r="BE27" s="4"/>
      <c r="BF27" s="4"/>
      <c r="BG27" s="4"/>
      <c r="BH27" s="4"/>
      <c r="BI27" s="4"/>
      <c r="BJ27" s="4"/>
      <c r="BK27" s="4"/>
      <c r="BL27" s="4"/>
      <c r="BM27" s="4"/>
      <c r="BY27" s="137">
        <v>316</v>
      </c>
      <c r="BZ27" s="137"/>
    </row>
    <row r="31" spans="1:79" s="5" customFormat="1" ht="14.4" x14ac:dyDescent="0.15">
      <c r="H31" s="6" t="s">
        <v>8</v>
      </c>
      <c r="I31" s="202">
        <f>+'tai-data'!$B$8</f>
        <v>30</v>
      </c>
      <c r="J31" s="202"/>
      <c r="K31" s="202"/>
      <c r="L31" s="5" t="str">
        <f>+L4</f>
        <v>年分 　退職所得の源泉徴収票・特別徴収票</v>
      </c>
      <c r="Z31" s="24"/>
      <c r="AA31" s="24"/>
      <c r="AB31" s="24"/>
      <c r="AC31" s="24"/>
      <c r="AD31" s="24"/>
      <c r="AE31" s="24"/>
      <c r="AF31" s="24"/>
      <c r="AG31" s="24"/>
      <c r="AH31" s="24"/>
      <c r="AI31" s="24"/>
      <c r="AJ31" s="24"/>
      <c r="AK31" s="24"/>
      <c r="AL31" s="24"/>
      <c r="AM31" s="14"/>
      <c r="AN31" s="14"/>
      <c r="AO31" s="14"/>
      <c r="AP31" s="14"/>
      <c r="AQ31" s="14"/>
      <c r="AW31" s="6" t="s">
        <v>8</v>
      </c>
      <c r="AX31" s="202">
        <f>+'tai-data'!$B$8</f>
        <v>30</v>
      </c>
      <c r="AY31" s="202"/>
      <c r="AZ31" s="202"/>
      <c r="BA31" s="5" t="str">
        <f>+L4</f>
        <v>年分 　退職所得の源泉徴収票・特別徴収票</v>
      </c>
      <c r="BO31" s="24"/>
      <c r="BP31" s="24"/>
      <c r="BQ31" s="24"/>
      <c r="BR31" s="24"/>
      <c r="BS31" s="24"/>
      <c r="BT31" s="24"/>
      <c r="BU31" s="24"/>
      <c r="BV31" s="24"/>
      <c r="BW31" s="24"/>
      <c r="BX31" s="24"/>
      <c r="BY31" s="24"/>
      <c r="BZ31" s="24"/>
      <c r="CA31" s="24"/>
    </row>
    <row r="32" spans="1:79" ht="16.2" x14ac:dyDescent="0.15">
      <c r="A32" s="107"/>
      <c r="B32" s="188" t="s">
        <v>19</v>
      </c>
      <c r="C32" s="188"/>
      <c r="D32" s="188"/>
      <c r="E32" s="204" t="s">
        <v>58</v>
      </c>
      <c r="F32" s="204"/>
      <c r="G32" s="204"/>
      <c r="H32" s="204"/>
      <c r="I32" s="27" t="str">
        <f>IF($T$32="","",IF(VLOOKUP('tai-data'!$H$12+1,'tai-data'!$A$22:$K$41,3,1)="","",LEFT((RIGHT(VLOOKUP('tai-data'!$H$12+1,'tai-data'!$A$22:$K$41,3,1)+10000000000000,12)),1)))</f>
        <v/>
      </c>
      <c r="J32" s="28" t="str">
        <f>IF($T$32="","",IF(VLOOKUP('tai-data'!$H$12+1,'tai-data'!$A$22:$K$41,3,1)="","",LEFT((RIGHT(VLOOKUP('tai-data'!$H$12+1,'tai-data'!$A$22:$K$41,3,1)+10000000000000,11)),1)))</f>
        <v/>
      </c>
      <c r="K32" s="28" t="str">
        <f>IF($T$32="","",IF(VLOOKUP('tai-data'!$H$12+1,'tai-data'!$A$22:$K$41,3,1)="","",LEFT((RIGHT(VLOOKUP('tai-data'!$H$12+1,'tai-data'!$A$22:$K$41,3,1)+10000000000000,10)),1)))</f>
        <v/>
      </c>
      <c r="L32" s="29" t="str">
        <f>IF($T$32="","",IF(VLOOKUP('tai-data'!$H$12+1,'tai-data'!$A$22:$K$41,3,1)="","",LEFT((RIGHT(VLOOKUP('tai-data'!$H$12+1,'tai-data'!$A$22:$K$41,3,1)+10000000000000,9)),1)))</f>
        <v/>
      </c>
      <c r="M32" s="27" t="str">
        <f>IF($T$32="","",IF(VLOOKUP('tai-data'!$H$12+1,'tai-data'!$A$22:$K$41,3,1)="","",LEFT((RIGHT(VLOOKUP('tai-data'!$H$12+1,'tai-data'!$A$22:$K$41,3,1)+10000000000000,8)),1)))</f>
        <v/>
      </c>
      <c r="N32" s="28" t="str">
        <f>IF($T$32="","",IF(VLOOKUP('tai-data'!$H$12+1,'tai-data'!$A$22:$K$41,3,1)="","",LEFT((RIGHT(VLOOKUP('tai-data'!$H$12+1,'tai-data'!$A$22:$K$41,3,1)+10000000000000,7)),1)))</f>
        <v/>
      </c>
      <c r="O32" s="28" t="str">
        <f>IF($T$32="","",IF(VLOOKUP('tai-data'!$H$12+1,'tai-data'!$A$22:$K$41,3,1)="","",LEFT((RIGHT(VLOOKUP('tai-data'!$H$12+1,'tai-data'!$A$22:$K$41,3,1)+10000000000000,6)),1)))</f>
        <v/>
      </c>
      <c r="P32" s="29" t="str">
        <f>IF($T$32="","",IF(VLOOKUP('tai-data'!$H$12+1,'tai-data'!$A$22:$K$41,3,1)="","",LEFT((RIGHT(VLOOKUP('tai-data'!$H$12+1,'tai-data'!$A$22:$K$41,3,1)+10000000000000,5)),1)))</f>
        <v/>
      </c>
      <c r="Q32" s="27" t="str">
        <f>IF($T$32="","",IF(VLOOKUP('tai-data'!$H$12+1,'tai-data'!$A$22:$K$41,3,1)="","",LEFT((RIGHT(VLOOKUP('tai-data'!$H$12+1,'tai-data'!$A$22:$K$41,3,1)+10000000000000,4)),1)))</f>
        <v/>
      </c>
      <c r="R32" s="28" t="str">
        <f>IF($T$32="","",IF(VLOOKUP('tai-data'!$H$12+1,'tai-data'!$A$22:$K$41,3,1)="","",LEFT((RIGHT(VLOOKUP('tai-data'!$H$12+1,'tai-data'!$A$22:$K$41,3,1)+10000000000000,3)),1)))</f>
        <v/>
      </c>
      <c r="S32" s="28" t="str">
        <f>IF($T$32="","",IF(VLOOKUP('tai-data'!$H$12+1,'tai-data'!$A$22:$K$41,3,1)="","",LEFT((RIGHT(VLOOKUP('tai-data'!$H$12+1,'tai-data'!$A$22:$K$41,3,1)+10000000000000,2)),1)))</f>
        <v/>
      </c>
      <c r="T32" s="30" t="str">
        <f>IF('tai-data'!$H$15="印字しない","",IF(VLOOKUP('tai-data'!$H$12+1,'tai-data'!$A$22:$K$41,3,1)="","",LEFT((RIGHT(VLOOKUP('tai-data'!$H$12+1,'tai-data'!$A$22:$K$41,3,1)+10000000000000,1)),1)))</f>
        <v/>
      </c>
      <c r="U32" s="189"/>
      <c r="V32" s="190"/>
      <c r="W32" s="190"/>
      <c r="X32" s="190"/>
      <c r="Y32" s="190"/>
      <c r="Z32" s="190"/>
      <c r="AA32" s="190"/>
      <c r="AB32" s="190"/>
      <c r="AC32" s="190"/>
      <c r="AD32" s="190"/>
      <c r="AE32" s="190"/>
      <c r="AF32" s="190"/>
      <c r="AG32" s="190"/>
      <c r="AH32" s="190"/>
      <c r="AI32" s="190"/>
      <c r="AJ32" s="190"/>
      <c r="AK32" s="191"/>
      <c r="AQ32" s="188" t="s">
        <v>19</v>
      </c>
      <c r="AR32" s="188"/>
      <c r="AS32" s="188"/>
      <c r="AT32" s="204" t="s">
        <v>58</v>
      </c>
      <c r="AU32" s="204"/>
      <c r="AV32" s="204"/>
      <c r="AW32" s="204"/>
      <c r="AX32" s="27" t="str">
        <f>IF($BI$32="","",IF(VLOOKUP('tai-data'!$H$12+3,'tai-data'!$A$22:$K$41,3,1)="","",LEFT((RIGHT(VLOOKUP('tai-data'!$H$12+3,'tai-data'!$A$22:$K$41,3,1)+10000000000000,12)),1)))</f>
        <v/>
      </c>
      <c r="AY32" s="28" t="str">
        <f>IF($BI$32="","",IF(VLOOKUP('tai-data'!$H$12+3,'tai-data'!$A$22:$K$41,3,1)="","",LEFT((RIGHT(VLOOKUP('tai-data'!$H$12+3,'tai-data'!$A$22:$K$41,3,1)+10000000000000,11)),1)))</f>
        <v/>
      </c>
      <c r="AZ32" s="28" t="str">
        <f>IF($BI$32="","",IF(VLOOKUP('tai-data'!$H$12+3,'tai-data'!$A$22:$K$41,3,1)="","",LEFT((RIGHT(VLOOKUP('tai-data'!$H$12+3,'tai-data'!$A$22:$K$41,3,1)+10000000000000,10)),1)))</f>
        <v/>
      </c>
      <c r="BA32" s="29" t="str">
        <f>IF($BI$32="","",IF(VLOOKUP('tai-data'!$H$12+3,'tai-data'!$A$22:$K$41,3,1)="","",LEFT((RIGHT(VLOOKUP('tai-data'!$H$12+3,'tai-data'!$A$22:$K$41,3,1)+10000000000000,9)),1)))</f>
        <v/>
      </c>
      <c r="BB32" s="27" t="str">
        <f>IF($BI$32="","",IF(VLOOKUP('tai-data'!$H$12+3,'tai-data'!$A$22:$K$41,3,1)="","",LEFT((RIGHT(VLOOKUP('tai-data'!$H$12+3,'tai-data'!$A$22:$K$41,3,1)+10000000000000,8)),1)))</f>
        <v/>
      </c>
      <c r="BC32" s="28" t="str">
        <f>IF($BI$32="","",IF(VLOOKUP('tai-data'!$H$12+3,'tai-data'!$A$22:$K$41,3,1)="","",LEFT((RIGHT(VLOOKUP('tai-data'!$H$12+3,'tai-data'!$A$22:$K$41,3,1)+10000000000000,7)),1)))</f>
        <v/>
      </c>
      <c r="BD32" s="28" t="str">
        <f>IF($BI$32="","",IF(VLOOKUP('tai-data'!$H$12+3,'tai-data'!$A$22:$K$41,3,1)="","",LEFT((RIGHT(VLOOKUP('tai-data'!$H$12+3,'tai-data'!$A$22:$K$41,3,1)+10000000000000,6)),1)))</f>
        <v/>
      </c>
      <c r="BE32" s="29" t="str">
        <f>IF($BI$32="","",IF(VLOOKUP('tai-data'!$H$12+3,'tai-data'!$A$22:$K$41,3,1)="","",LEFT((RIGHT(VLOOKUP('tai-data'!$H$12+3,'tai-data'!$A$22:$K$41,3,1)+10000000000000,5)),1)))</f>
        <v/>
      </c>
      <c r="BF32" s="27" t="str">
        <f>IF($BI$32="","",IF(VLOOKUP('tai-data'!$H$12+3,'tai-data'!$A$22:$K$41,3,1)="","",LEFT((RIGHT(VLOOKUP('tai-data'!$H$12+3,'tai-data'!$A$22:$K$41,3,1)+10000000000000,4)),1)))</f>
        <v/>
      </c>
      <c r="BG32" s="28" t="str">
        <f>IF($BI$32="","",IF(VLOOKUP('tai-data'!$H$12+3,'tai-data'!$A$22:$K$41,3,1)="","",LEFT((RIGHT(VLOOKUP('tai-data'!$H$12+3,'tai-data'!$A$22:$K$41,3,1)+10000000000000,3)),1)))</f>
        <v/>
      </c>
      <c r="BH32" s="28" t="str">
        <f>IF($BI$32="","",IF(VLOOKUP('tai-data'!$H$12+3,'tai-data'!$A$22:$K$41,3,1)="","",LEFT((RIGHT(VLOOKUP('tai-data'!$H$12+3,'tai-data'!$A$22:$K$41,3,1)+10000000000000,2)),1)))</f>
        <v/>
      </c>
      <c r="BI32" s="30" t="str">
        <f>IF('tai-data'!$H$15="印字しない","",IF(VLOOKUP('tai-data'!$H$12+3,'tai-data'!$A$22:$K$41,3,1)="","",LEFT((RIGHT(VLOOKUP('tai-data'!$H$12+3,'tai-data'!$A$22:$K$41,3,1)+10000000000000,1)),1)))</f>
        <v/>
      </c>
      <c r="BJ32" s="189"/>
      <c r="BK32" s="190"/>
      <c r="BL32" s="190"/>
      <c r="BM32" s="190"/>
      <c r="BN32" s="190"/>
      <c r="BO32" s="190"/>
      <c r="BP32" s="190"/>
      <c r="BQ32" s="190"/>
      <c r="BR32" s="190"/>
      <c r="BS32" s="190"/>
      <c r="BT32" s="190"/>
      <c r="BU32" s="190"/>
      <c r="BV32" s="190"/>
      <c r="BW32" s="190"/>
      <c r="BX32" s="190"/>
      <c r="BY32" s="190"/>
      <c r="BZ32" s="191"/>
    </row>
    <row r="33" spans="1:78" ht="16.2" x14ac:dyDescent="0.15">
      <c r="A33" s="107"/>
      <c r="B33" s="188"/>
      <c r="C33" s="188"/>
      <c r="D33" s="188"/>
      <c r="E33" s="192" t="s">
        <v>59</v>
      </c>
      <c r="F33" s="192"/>
      <c r="G33" s="192"/>
      <c r="H33" s="192"/>
      <c r="I33" s="33"/>
      <c r="J33" s="34"/>
      <c r="K33" s="111" t="str">
        <f>VLOOKUP('tai-data'!$H$12+1,'tai-data'!$A$22:$K$41,4,1)&amp;""</f>
        <v>東京都△△区△△町4-5-6</v>
      </c>
      <c r="L33" s="34"/>
      <c r="M33" s="7"/>
      <c r="N33" s="7"/>
      <c r="O33" s="8"/>
      <c r="P33" s="8"/>
      <c r="Q33" s="8"/>
      <c r="R33" s="8"/>
      <c r="S33" s="8"/>
      <c r="T33" s="8"/>
      <c r="U33" s="8"/>
      <c r="V33" s="8"/>
      <c r="W33" s="8"/>
      <c r="X33" s="8"/>
      <c r="Y33" s="25"/>
      <c r="Z33" s="25"/>
      <c r="AA33" s="25"/>
      <c r="AB33" s="25"/>
      <c r="AC33" s="25"/>
      <c r="AD33" s="25"/>
      <c r="AE33" s="25"/>
      <c r="AF33" s="25"/>
      <c r="AG33" s="25"/>
      <c r="AH33" s="25"/>
      <c r="AI33" s="25"/>
      <c r="AJ33" s="25"/>
      <c r="AK33" s="26"/>
      <c r="AQ33" s="188"/>
      <c r="AR33" s="188"/>
      <c r="AS33" s="188"/>
      <c r="AT33" s="192" t="s">
        <v>59</v>
      </c>
      <c r="AU33" s="192"/>
      <c r="AV33" s="192"/>
      <c r="AW33" s="192"/>
      <c r="AX33" s="33"/>
      <c r="AY33" s="34"/>
      <c r="AZ33" s="111" t="str">
        <f>VLOOKUP('tai-data'!$H$12+3,'tai-data'!$A$22:$K$41,4,1)&amp;""</f>
        <v>東京都△△区△△町10-11-12</v>
      </c>
      <c r="BA33" s="34"/>
      <c r="BB33" s="7"/>
      <c r="BC33" s="7"/>
      <c r="BD33" s="8"/>
      <c r="BE33" s="8"/>
      <c r="BF33" s="8"/>
      <c r="BG33" s="8"/>
      <c r="BH33" s="8"/>
      <c r="BI33" s="8"/>
      <c r="BJ33" s="8"/>
      <c r="BK33" s="8"/>
      <c r="BL33" s="8"/>
      <c r="BM33" s="8"/>
      <c r="BN33" s="25"/>
      <c r="BO33" s="25"/>
      <c r="BP33" s="25"/>
      <c r="BQ33" s="25"/>
      <c r="BR33" s="25"/>
      <c r="BS33" s="25"/>
      <c r="BT33" s="25"/>
      <c r="BU33" s="25"/>
      <c r="BV33" s="25"/>
      <c r="BW33" s="25"/>
      <c r="BX33" s="25"/>
      <c r="BY33" s="25"/>
      <c r="BZ33" s="26"/>
    </row>
    <row r="34" spans="1:78" ht="16.2" x14ac:dyDescent="0.15">
      <c r="A34" s="107"/>
      <c r="B34" s="188"/>
      <c r="C34" s="188"/>
      <c r="D34" s="188"/>
      <c r="E34" s="193" t="str">
        <f>"平成"&amp;I31&amp;"年　　　　1月1日の住所"</f>
        <v>平成30年　　　　1月1日の住所</v>
      </c>
      <c r="F34" s="193"/>
      <c r="G34" s="193"/>
      <c r="H34" s="194"/>
      <c r="I34" s="33"/>
      <c r="J34" s="34"/>
      <c r="K34" s="111" t="str">
        <f>VLOOKUP('tai-data'!$H$12+1,'tai-data'!$A$22:$K$41,5,1)&amp;""</f>
        <v>同上</v>
      </c>
      <c r="L34" s="34"/>
      <c r="M34" s="7"/>
      <c r="N34" s="7"/>
      <c r="O34" s="8"/>
      <c r="P34" s="8"/>
      <c r="Q34" s="8"/>
      <c r="R34" s="8"/>
      <c r="S34" s="8"/>
      <c r="T34" s="8"/>
      <c r="U34" s="8"/>
      <c r="V34" s="8"/>
      <c r="W34" s="8"/>
      <c r="X34" s="8"/>
      <c r="Y34" s="25"/>
      <c r="Z34" s="25"/>
      <c r="AA34" s="25"/>
      <c r="AB34" s="25"/>
      <c r="AC34" s="25"/>
      <c r="AD34" s="25"/>
      <c r="AE34" s="25"/>
      <c r="AF34" s="25"/>
      <c r="AG34" s="25"/>
      <c r="AH34" s="25"/>
      <c r="AI34" s="25"/>
      <c r="AJ34" s="25"/>
      <c r="AK34" s="26"/>
      <c r="AQ34" s="188"/>
      <c r="AR34" s="188"/>
      <c r="AS34" s="188"/>
      <c r="AT34" s="193" t="str">
        <f>"平成"&amp;AX31&amp;"年　　　　1月1日の住所"</f>
        <v>平成30年　　　　1月1日の住所</v>
      </c>
      <c r="AU34" s="193"/>
      <c r="AV34" s="193"/>
      <c r="AW34" s="194"/>
      <c r="AX34" s="33"/>
      <c r="AY34" s="34"/>
      <c r="AZ34" s="111" t="str">
        <f>VLOOKUP('tai-data'!$H$12+3,'tai-data'!$A$22:$K$41,5,1)&amp;""</f>
        <v>同上</v>
      </c>
      <c r="BA34" s="34"/>
      <c r="BB34" s="7"/>
      <c r="BC34" s="7"/>
      <c r="BD34" s="8"/>
      <c r="BE34" s="8"/>
      <c r="BF34" s="8"/>
      <c r="BG34" s="8"/>
      <c r="BH34" s="8"/>
      <c r="BI34" s="8"/>
      <c r="BJ34" s="8"/>
      <c r="BK34" s="8"/>
      <c r="BL34" s="8"/>
      <c r="BM34" s="8"/>
      <c r="BN34" s="25"/>
      <c r="BO34" s="25"/>
      <c r="BP34" s="25"/>
      <c r="BQ34" s="25"/>
      <c r="BR34" s="25"/>
      <c r="BS34" s="25"/>
      <c r="BT34" s="25"/>
      <c r="BU34" s="25"/>
      <c r="BV34" s="25"/>
      <c r="BW34" s="25"/>
      <c r="BX34" s="25"/>
      <c r="BY34" s="25"/>
      <c r="BZ34" s="26"/>
    </row>
    <row r="35" spans="1:78" x14ac:dyDescent="0.15">
      <c r="A35" s="10"/>
      <c r="B35" s="188"/>
      <c r="C35" s="188"/>
      <c r="D35" s="188"/>
      <c r="E35" s="152" t="s">
        <v>9</v>
      </c>
      <c r="F35" s="152"/>
      <c r="G35" s="152"/>
      <c r="H35" s="195"/>
      <c r="I35" s="197" t="s">
        <v>60</v>
      </c>
      <c r="J35" s="198"/>
      <c r="K35" s="98"/>
      <c r="L35" s="99"/>
      <c r="M35" s="100"/>
      <c r="N35" s="101"/>
      <c r="O35" s="102"/>
      <c r="P35" s="102"/>
      <c r="Q35" s="102"/>
      <c r="R35" s="102"/>
      <c r="S35" s="102"/>
      <c r="T35" s="102"/>
      <c r="U35" s="102"/>
      <c r="V35" s="102"/>
      <c r="W35" s="102"/>
      <c r="X35" s="102"/>
      <c r="Y35" s="103"/>
      <c r="Z35" s="103"/>
      <c r="AA35" s="103"/>
      <c r="AB35" s="103"/>
      <c r="AC35" s="103"/>
      <c r="AD35" s="103"/>
      <c r="AE35" s="103"/>
      <c r="AF35" s="103"/>
      <c r="AG35" s="103"/>
      <c r="AH35" s="103"/>
      <c r="AI35" s="103"/>
      <c r="AJ35" s="103"/>
      <c r="AK35" s="104"/>
      <c r="AQ35" s="188"/>
      <c r="AR35" s="188"/>
      <c r="AS35" s="188"/>
      <c r="AT35" s="152" t="s">
        <v>9</v>
      </c>
      <c r="AU35" s="152"/>
      <c r="AV35" s="152"/>
      <c r="AW35" s="195"/>
      <c r="AX35" s="197" t="s">
        <v>60</v>
      </c>
      <c r="AY35" s="198"/>
      <c r="AZ35" s="98"/>
      <c r="BA35" s="99"/>
      <c r="BB35" s="100"/>
      <c r="BC35" s="101"/>
      <c r="BD35" s="102"/>
      <c r="BE35" s="102"/>
      <c r="BF35" s="102"/>
      <c r="BG35" s="102"/>
      <c r="BH35" s="102"/>
      <c r="BI35" s="102"/>
      <c r="BJ35" s="102"/>
      <c r="BK35" s="102"/>
      <c r="BL35" s="102"/>
      <c r="BM35" s="102"/>
      <c r="BN35" s="103"/>
      <c r="BO35" s="103"/>
      <c r="BP35" s="103"/>
      <c r="BQ35" s="103"/>
      <c r="BR35" s="103"/>
      <c r="BS35" s="103"/>
      <c r="BT35" s="103"/>
      <c r="BU35" s="103"/>
      <c r="BV35" s="103"/>
      <c r="BW35" s="103"/>
      <c r="BX35" s="103"/>
      <c r="BY35" s="103"/>
      <c r="BZ35" s="104"/>
    </row>
    <row r="36" spans="1:78" s="10" customFormat="1" ht="19.2" x14ac:dyDescent="0.15">
      <c r="A36" s="11"/>
      <c r="B36" s="188"/>
      <c r="C36" s="188"/>
      <c r="D36" s="188"/>
      <c r="E36" s="156"/>
      <c r="F36" s="156"/>
      <c r="G36" s="156"/>
      <c r="H36" s="196"/>
      <c r="I36" s="199" t="str">
        <f>VLOOKUP('tai-data'!$H$12+1,'tai-data'!$A$22:$K$41,6,1)&amp;""</f>
        <v>取締役会長</v>
      </c>
      <c r="J36" s="200"/>
      <c r="K36" s="200"/>
      <c r="L36" s="200"/>
      <c r="M36" s="200"/>
      <c r="N36" s="200"/>
      <c r="O36" s="200"/>
      <c r="P36" s="105"/>
      <c r="Q36" s="51" t="str">
        <f>VLOOKUP('tai-data'!$H$12+1,'tai-data'!$A$22:$K$41,2,1)&amp;""</f>
        <v>退職金次郎</v>
      </c>
      <c r="R36" s="106"/>
      <c r="S36" s="105"/>
      <c r="T36" s="15"/>
      <c r="U36" s="15"/>
      <c r="V36" s="15"/>
      <c r="W36" s="15"/>
      <c r="X36" s="96"/>
      <c r="Y36" s="96"/>
      <c r="Z36" s="96"/>
      <c r="AA36" s="96"/>
      <c r="AB36" s="96"/>
      <c r="AC36" s="96"/>
      <c r="AD36" s="96"/>
      <c r="AE36" s="96"/>
      <c r="AF36" s="96"/>
      <c r="AG36" s="96"/>
      <c r="AH36" s="96"/>
      <c r="AI36" s="96"/>
      <c r="AJ36" s="96"/>
      <c r="AK36" s="97"/>
      <c r="AL36" s="52"/>
      <c r="AM36" s="52"/>
      <c r="AN36" s="52"/>
      <c r="AO36" s="52"/>
      <c r="AP36" s="52"/>
      <c r="AQ36" s="188"/>
      <c r="AR36" s="188"/>
      <c r="AS36" s="188"/>
      <c r="AT36" s="156"/>
      <c r="AU36" s="156"/>
      <c r="AV36" s="156"/>
      <c r="AW36" s="196"/>
      <c r="AX36" s="199" t="str">
        <f>VLOOKUP('tai-data'!$H$12+3,'tai-data'!$A$22:$K$41,6,1)&amp;""</f>
        <v>常務取締役</v>
      </c>
      <c r="AY36" s="200"/>
      <c r="AZ36" s="200"/>
      <c r="BA36" s="200"/>
      <c r="BB36" s="200"/>
      <c r="BC36" s="200"/>
      <c r="BD36" s="200"/>
      <c r="BE36" s="105"/>
      <c r="BF36" s="51" t="str">
        <f>VLOOKUP('tai-data'!$H$12+3,'tai-data'!$A$22:$K$41,2,1)&amp;""</f>
        <v>退職金四郎</v>
      </c>
      <c r="BG36" s="106"/>
      <c r="BH36" s="105"/>
      <c r="BI36" s="15"/>
      <c r="BJ36" s="15"/>
      <c r="BK36" s="15"/>
      <c r="BL36" s="15"/>
      <c r="BM36" s="96"/>
      <c r="BN36" s="96"/>
      <c r="BO36" s="96"/>
      <c r="BP36" s="96"/>
      <c r="BQ36" s="96"/>
      <c r="BR36" s="96"/>
      <c r="BS36" s="96"/>
      <c r="BT36" s="96"/>
      <c r="BU36" s="96"/>
      <c r="BV36" s="96"/>
      <c r="BW36" s="96"/>
      <c r="BX36" s="96"/>
      <c r="BY36" s="96"/>
      <c r="BZ36" s="97"/>
    </row>
    <row r="37" spans="1:78" s="10" customFormat="1" ht="9.6" x14ac:dyDescent="0.15">
      <c r="A37" s="12"/>
      <c r="B37" s="175" t="s">
        <v>20</v>
      </c>
      <c r="C37" s="175"/>
      <c r="D37" s="175"/>
      <c r="E37" s="175"/>
      <c r="F37" s="175"/>
      <c r="G37" s="175"/>
      <c r="H37" s="175"/>
      <c r="I37" s="175"/>
      <c r="J37" s="175"/>
      <c r="K37" s="175"/>
      <c r="L37" s="175"/>
      <c r="M37" s="175"/>
      <c r="N37" s="176" t="s">
        <v>65</v>
      </c>
      <c r="O37" s="177"/>
      <c r="P37" s="177"/>
      <c r="Q37" s="177"/>
      <c r="R37" s="177"/>
      <c r="S37" s="178"/>
      <c r="T37" s="176" t="s">
        <v>11</v>
      </c>
      <c r="U37" s="177"/>
      <c r="V37" s="177"/>
      <c r="W37" s="177"/>
      <c r="X37" s="177"/>
      <c r="Y37" s="178"/>
      <c r="Z37" s="182" t="s">
        <v>71</v>
      </c>
      <c r="AA37" s="183"/>
      <c r="AB37" s="183"/>
      <c r="AC37" s="183"/>
      <c r="AD37" s="183"/>
      <c r="AE37" s="183"/>
      <c r="AF37" s="183"/>
      <c r="AG37" s="183"/>
      <c r="AH37" s="183"/>
      <c r="AI37" s="183"/>
      <c r="AJ37" s="183"/>
      <c r="AK37" s="184"/>
      <c r="AL37" s="14"/>
      <c r="AM37" s="14"/>
      <c r="AN37" s="14"/>
      <c r="AO37" s="14"/>
      <c r="AP37" s="14"/>
      <c r="AQ37" s="175" t="s">
        <v>20</v>
      </c>
      <c r="AR37" s="175"/>
      <c r="AS37" s="175"/>
      <c r="AT37" s="175"/>
      <c r="AU37" s="175"/>
      <c r="AV37" s="175"/>
      <c r="AW37" s="175"/>
      <c r="AX37" s="175"/>
      <c r="AY37" s="175"/>
      <c r="AZ37" s="175"/>
      <c r="BA37" s="175"/>
      <c r="BB37" s="175"/>
      <c r="BC37" s="176" t="s">
        <v>65</v>
      </c>
      <c r="BD37" s="177"/>
      <c r="BE37" s="177"/>
      <c r="BF37" s="177"/>
      <c r="BG37" s="177"/>
      <c r="BH37" s="178"/>
      <c r="BI37" s="176" t="s">
        <v>11</v>
      </c>
      <c r="BJ37" s="177"/>
      <c r="BK37" s="177"/>
      <c r="BL37" s="177"/>
      <c r="BM37" s="177"/>
      <c r="BN37" s="178"/>
      <c r="BO37" s="182" t="s">
        <v>71</v>
      </c>
      <c r="BP37" s="183"/>
      <c r="BQ37" s="183"/>
      <c r="BR37" s="183"/>
      <c r="BS37" s="183"/>
      <c r="BT37" s="183"/>
      <c r="BU37" s="183"/>
      <c r="BV37" s="183"/>
      <c r="BW37" s="183"/>
      <c r="BX37" s="183"/>
      <c r="BY37" s="183"/>
      <c r="BZ37" s="184"/>
    </row>
    <row r="38" spans="1:78" s="12" customFormat="1" ht="9.6" x14ac:dyDescent="0.15">
      <c r="B38" s="175"/>
      <c r="C38" s="175"/>
      <c r="D38" s="175"/>
      <c r="E38" s="175"/>
      <c r="F38" s="175"/>
      <c r="G38" s="175"/>
      <c r="H38" s="175"/>
      <c r="I38" s="175"/>
      <c r="J38" s="175"/>
      <c r="K38" s="175"/>
      <c r="L38" s="175"/>
      <c r="M38" s="175"/>
      <c r="N38" s="179"/>
      <c r="O38" s="180"/>
      <c r="P38" s="180"/>
      <c r="Q38" s="180"/>
      <c r="R38" s="180"/>
      <c r="S38" s="181"/>
      <c r="T38" s="179"/>
      <c r="U38" s="180"/>
      <c r="V38" s="180"/>
      <c r="W38" s="180"/>
      <c r="X38" s="180"/>
      <c r="Y38" s="181"/>
      <c r="Z38" s="185" t="s">
        <v>68</v>
      </c>
      <c r="AA38" s="186"/>
      <c r="AB38" s="186"/>
      <c r="AC38" s="186"/>
      <c r="AD38" s="186"/>
      <c r="AE38" s="187"/>
      <c r="AF38" s="185" t="s">
        <v>70</v>
      </c>
      <c r="AG38" s="186"/>
      <c r="AH38" s="186"/>
      <c r="AI38" s="186"/>
      <c r="AJ38" s="186"/>
      <c r="AK38" s="187"/>
      <c r="AL38" s="14"/>
      <c r="AM38" s="14"/>
      <c r="AN38" s="14"/>
      <c r="AO38" s="14"/>
      <c r="AP38" s="14"/>
      <c r="AQ38" s="175"/>
      <c r="AR38" s="175"/>
      <c r="AS38" s="175"/>
      <c r="AT38" s="175"/>
      <c r="AU38" s="175"/>
      <c r="AV38" s="175"/>
      <c r="AW38" s="175"/>
      <c r="AX38" s="175"/>
      <c r="AY38" s="175"/>
      <c r="AZ38" s="175"/>
      <c r="BA38" s="175"/>
      <c r="BB38" s="175"/>
      <c r="BC38" s="179"/>
      <c r="BD38" s="180"/>
      <c r="BE38" s="180"/>
      <c r="BF38" s="180"/>
      <c r="BG38" s="180"/>
      <c r="BH38" s="181"/>
      <c r="BI38" s="179"/>
      <c r="BJ38" s="180"/>
      <c r="BK38" s="180"/>
      <c r="BL38" s="180"/>
      <c r="BM38" s="180"/>
      <c r="BN38" s="181"/>
      <c r="BO38" s="185" t="s">
        <v>68</v>
      </c>
      <c r="BP38" s="186"/>
      <c r="BQ38" s="186"/>
      <c r="BR38" s="186"/>
      <c r="BS38" s="186"/>
      <c r="BT38" s="187"/>
      <c r="BU38" s="185" t="s">
        <v>70</v>
      </c>
      <c r="BV38" s="186"/>
      <c r="BW38" s="186"/>
      <c r="BX38" s="186"/>
      <c r="BY38" s="186"/>
      <c r="BZ38" s="187"/>
    </row>
    <row r="39" spans="1:78" s="9" customFormat="1" ht="10.8" x14ac:dyDescent="0.15">
      <c r="A39" s="12"/>
      <c r="B39" s="163" t="s">
        <v>72</v>
      </c>
      <c r="C39" s="164"/>
      <c r="D39" s="164"/>
      <c r="E39" s="164"/>
      <c r="F39" s="164"/>
      <c r="G39" s="164"/>
      <c r="H39" s="164"/>
      <c r="I39" s="164"/>
      <c r="J39" s="164"/>
      <c r="K39" s="164"/>
      <c r="L39" s="164"/>
      <c r="M39" s="165"/>
      <c r="N39" s="10" t="s">
        <v>109</v>
      </c>
      <c r="O39" s="169"/>
      <c r="P39" s="169"/>
      <c r="Q39" s="169"/>
      <c r="R39" s="169"/>
      <c r="S39" s="170"/>
      <c r="T39" s="120" t="str">
        <f>IF(IF(VLOOKUP('tai-data'!$H$12+1,'tai-data'!$A$22:$O$41,7,1)=0,"",VLOOKUP('tai-data'!$H$12+1,'tai-data'!$A$22:$O$41,7,1))="上段",1,"")</f>
        <v/>
      </c>
      <c r="Z39" s="115"/>
      <c r="AA39" s="116"/>
      <c r="AB39" s="116"/>
      <c r="AC39" s="116"/>
      <c r="AD39" s="116"/>
      <c r="AE39" s="117"/>
      <c r="AF39" s="115"/>
      <c r="AG39" s="116"/>
      <c r="AH39" s="116"/>
      <c r="AI39" s="116"/>
      <c r="AJ39" s="116"/>
      <c r="AK39" s="117"/>
      <c r="AL39" s="14"/>
      <c r="AM39" s="14"/>
      <c r="AN39" s="14"/>
      <c r="AO39" s="14"/>
      <c r="AP39" s="14"/>
      <c r="AQ39" s="163" t="s">
        <v>72</v>
      </c>
      <c r="AR39" s="164"/>
      <c r="AS39" s="164"/>
      <c r="AT39" s="164"/>
      <c r="AU39" s="164"/>
      <c r="AV39" s="164"/>
      <c r="AW39" s="164"/>
      <c r="AX39" s="164"/>
      <c r="AY39" s="164"/>
      <c r="AZ39" s="164"/>
      <c r="BA39" s="164"/>
      <c r="BB39" s="165"/>
      <c r="BC39" s="10" t="s">
        <v>109</v>
      </c>
      <c r="BD39" s="169"/>
      <c r="BE39" s="169"/>
      <c r="BF39" s="169"/>
      <c r="BG39" s="169"/>
      <c r="BH39" s="170"/>
      <c r="BI39" s="120">
        <f>IF(IF(VLOOKUP('tai-data'!$H$12+3,'tai-data'!$A$22:$O$41,7,1)=0,"",VLOOKUP('tai-data'!$H$12+3,'tai-data'!$A$22:$O$41,7,1))="上段",1,"")</f>
        <v>1</v>
      </c>
      <c r="BO39" s="115"/>
      <c r="BP39" s="116"/>
      <c r="BQ39" s="116"/>
      <c r="BR39" s="116"/>
      <c r="BS39" s="116"/>
      <c r="BT39" s="117"/>
      <c r="BU39" s="115"/>
      <c r="BV39" s="116"/>
      <c r="BW39" s="116"/>
      <c r="BX39" s="116"/>
      <c r="BY39" s="116"/>
      <c r="BZ39" s="117"/>
    </row>
    <row r="40" spans="1:78" s="12" customFormat="1" ht="19.2" x14ac:dyDescent="0.15">
      <c r="A40" s="11"/>
      <c r="B40" s="166"/>
      <c r="C40" s="167"/>
      <c r="D40" s="167"/>
      <c r="E40" s="167"/>
      <c r="F40" s="167"/>
      <c r="G40" s="167"/>
      <c r="H40" s="167"/>
      <c r="I40" s="167"/>
      <c r="J40" s="167"/>
      <c r="K40" s="167"/>
      <c r="L40" s="167"/>
      <c r="M40" s="168"/>
      <c r="N40" s="171" t="str">
        <f>IF(T39=1,IF(VLOOKUP('tai-data'!$H$12+1,'tai-data'!$A$22:$O$41,8,1)=0,"",VLOOKUP('tai-data'!$H$12+1,'tai-data'!$A$22:$O$41,8,1)),"")</f>
        <v/>
      </c>
      <c r="O40" s="172"/>
      <c r="P40" s="172"/>
      <c r="Q40" s="172"/>
      <c r="R40" s="172"/>
      <c r="S40" s="173"/>
      <c r="T40" s="174" t="str">
        <f>IF(T39=1,IF(VLOOKUP('tai-data'!$H$12+1,'tai-data'!$A$22:$O$41,9,1)=0,"",VLOOKUP('tai-data'!$H$12+1,'tai-data'!$A$22:$O$41,9,1)),"")</f>
        <v/>
      </c>
      <c r="U40" s="174"/>
      <c r="V40" s="174"/>
      <c r="W40" s="174"/>
      <c r="X40" s="174"/>
      <c r="Y40" s="174"/>
      <c r="Z40" s="174" t="str">
        <f>IF(T39=1,IF(VLOOKUP('tai-data'!$H$12+1,'tai-data'!$A$22:$O$41,10,1)=0,"",VLOOKUP('tai-data'!$H$12+1,'tai-data'!$A$22:$O$41,10,1)),"")</f>
        <v/>
      </c>
      <c r="AA40" s="174"/>
      <c r="AB40" s="174"/>
      <c r="AC40" s="174"/>
      <c r="AD40" s="174"/>
      <c r="AE40" s="174"/>
      <c r="AF40" s="174" t="str">
        <f>IF(T39=1,IF(VLOOKUP('tai-data'!$H$12+1,'tai-data'!$A$22:$O$41,11,1)=0,"",VLOOKUP('tai-data'!$H$12+1,'tai-data'!$A$22:$O$41,11,1)),"")</f>
        <v/>
      </c>
      <c r="AG40" s="174"/>
      <c r="AH40" s="174"/>
      <c r="AI40" s="174"/>
      <c r="AJ40" s="174"/>
      <c r="AK40" s="174"/>
      <c r="AL40" s="14"/>
      <c r="AM40" s="14"/>
      <c r="AN40" s="14"/>
      <c r="AO40" s="14"/>
      <c r="AP40" s="14"/>
      <c r="AQ40" s="166"/>
      <c r="AR40" s="167"/>
      <c r="AS40" s="167"/>
      <c r="AT40" s="167"/>
      <c r="AU40" s="167"/>
      <c r="AV40" s="167"/>
      <c r="AW40" s="167"/>
      <c r="AX40" s="167"/>
      <c r="AY40" s="167"/>
      <c r="AZ40" s="167"/>
      <c r="BA40" s="167"/>
      <c r="BB40" s="168"/>
      <c r="BC40" s="171">
        <f>IF(BI39=1,IF(VLOOKUP('tai-data'!$H$12+3,'tai-data'!$A$22:$O$41,8,1)=0,"",VLOOKUP('tai-data'!$H$12+3,'tai-data'!$A$22:$O$41,8,1)),"")</f>
        <v>20000000</v>
      </c>
      <c r="BD40" s="172"/>
      <c r="BE40" s="172"/>
      <c r="BF40" s="172"/>
      <c r="BG40" s="172"/>
      <c r="BH40" s="173"/>
      <c r="BI40" s="174">
        <f>IF(BI39=1,IF(VLOOKUP('tai-data'!$H$12+3,'tai-data'!$A$22:$O$41,9,1)=0,"",VLOOKUP('tai-data'!$H$12+3,'tai-data'!$A$22:$O$41,9,1)),"")</f>
        <v>2222222</v>
      </c>
      <c r="BJ40" s="174"/>
      <c r="BK40" s="174"/>
      <c r="BL40" s="174"/>
      <c r="BM40" s="174"/>
      <c r="BN40" s="174"/>
      <c r="BO40" s="174">
        <f>IF(BI39=1,IF(VLOOKUP('tai-data'!$H$12+3,'tai-data'!$A$22:$O$41,10,1)=0,"",VLOOKUP('tai-data'!$H$12+3,'tai-data'!$A$22:$O$41,10,1)),"")</f>
        <v>222222</v>
      </c>
      <c r="BP40" s="174"/>
      <c r="BQ40" s="174"/>
      <c r="BR40" s="174"/>
      <c r="BS40" s="174"/>
      <c r="BT40" s="174"/>
      <c r="BU40" s="174">
        <f>IF(BI39=1,IF(VLOOKUP('tai-data'!$H$12+3,'tai-data'!$A$22:$O$41,11,1)=0,"",VLOOKUP('tai-data'!$H$12+3,'tai-data'!$A$22:$O$41,11,1)),"")</f>
        <v>22222</v>
      </c>
      <c r="BV40" s="174"/>
      <c r="BW40" s="174"/>
      <c r="BX40" s="174"/>
      <c r="BY40" s="174"/>
      <c r="BZ40" s="174"/>
    </row>
    <row r="41" spans="1:78" s="9" customFormat="1" ht="10.8" x14ac:dyDescent="0.15">
      <c r="A41" s="12"/>
      <c r="B41" s="163" t="s">
        <v>73</v>
      </c>
      <c r="C41" s="164"/>
      <c r="D41" s="164"/>
      <c r="E41" s="164"/>
      <c r="F41" s="164"/>
      <c r="G41" s="164"/>
      <c r="H41" s="164"/>
      <c r="I41" s="164"/>
      <c r="J41" s="164"/>
      <c r="K41" s="164"/>
      <c r="L41" s="164"/>
      <c r="M41" s="165"/>
      <c r="N41" s="10" t="s">
        <v>109</v>
      </c>
      <c r="O41" s="169"/>
      <c r="P41" s="169"/>
      <c r="Q41" s="169"/>
      <c r="R41" s="169"/>
      <c r="S41" s="170"/>
      <c r="T41" s="121">
        <f>IF(IF(VLOOKUP('tai-data'!$H$12+1,'tai-data'!$A$22:$O$41,7,1)=0,"",VLOOKUP('tai-data'!$H$12+1,'tai-data'!$A$22:$O$41,7,1))="中段",1,"")</f>
        <v>1</v>
      </c>
      <c r="Z41" s="119"/>
      <c r="AA41" s="90"/>
      <c r="AB41" s="90"/>
      <c r="AC41" s="90"/>
      <c r="AD41" s="90"/>
      <c r="AE41" s="91"/>
      <c r="AF41" s="119"/>
      <c r="AG41" s="90"/>
      <c r="AH41" s="90"/>
      <c r="AI41" s="90"/>
      <c r="AJ41" s="90"/>
      <c r="AK41" s="91"/>
      <c r="AL41" s="14"/>
      <c r="AM41" s="14"/>
      <c r="AN41" s="14"/>
      <c r="AO41" s="14"/>
      <c r="AP41" s="14"/>
      <c r="AQ41" s="163" t="s">
        <v>73</v>
      </c>
      <c r="AR41" s="164"/>
      <c r="AS41" s="164"/>
      <c r="AT41" s="164"/>
      <c r="AU41" s="164"/>
      <c r="AV41" s="164"/>
      <c r="AW41" s="164"/>
      <c r="AX41" s="164"/>
      <c r="AY41" s="164"/>
      <c r="AZ41" s="164"/>
      <c r="BA41" s="164"/>
      <c r="BB41" s="165"/>
      <c r="BC41" s="10" t="s">
        <v>109</v>
      </c>
      <c r="BD41" s="169"/>
      <c r="BE41" s="169"/>
      <c r="BF41" s="169"/>
      <c r="BG41" s="169"/>
      <c r="BH41" s="170"/>
      <c r="BI41" s="121" t="str">
        <f>IF(IF(VLOOKUP('tai-data'!$H$12+3,'tai-data'!$A$22:$O$41,7,1)=0,"",VLOOKUP('tai-data'!$H$12+3,'tai-data'!$A$22:$O$41,7,1))="中段",1,"")</f>
        <v/>
      </c>
      <c r="BO41" s="119"/>
      <c r="BP41" s="90"/>
      <c r="BQ41" s="90"/>
      <c r="BR41" s="90"/>
      <c r="BS41" s="90"/>
      <c r="BT41" s="91"/>
      <c r="BU41" s="119"/>
      <c r="BV41" s="90"/>
      <c r="BW41" s="90"/>
      <c r="BX41" s="90"/>
      <c r="BY41" s="90"/>
      <c r="BZ41" s="91"/>
    </row>
    <row r="42" spans="1:78" s="12" customFormat="1" ht="19.2" x14ac:dyDescent="0.15">
      <c r="A42" s="11"/>
      <c r="B42" s="166"/>
      <c r="C42" s="167"/>
      <c r="D42" s="167"/>
      <c r="E42" s="167"/>
      <c r="F42" s="167"/>
      <c r="G42" s="167"/>
      <c r="H42" s="167"/>
      <c r="I42" s="167"/>
      <c r="J42" s="167"/>
      <c r="K42" s="167"/>
      <c r="L42" s="167"/>
      <c r="M42" s="168"/>
      <c r="N42" s="171">
        <f>IF(T41=1,IF(VLOOKUP('tai-data'!$H$12+1,'tai-data'!$A$22:$O$41,8,1)=0,"",VLOOKUP('tai-data'!$H$12+1,'tai-data'!$A$22:$O$41,8,1)),"")</f>
        <v>40000000</v>
      </c>
      <c r="O42" s="172"/>
      <c r="P42" s="172"/>
      <c r="Q42" s="172"/>
      <c r="R42" s="172"/>
      <c r="S42" s="173"/>
      <c r="T42" s="174">
        <f>IF(T41=1,IF(VLOOKUP('tai-data'!$H$12+1,'tai-data'!$A$22:$O$41,9,1)=0,"",VLOOKUP('tai-data'!$H$12+1,'tai-data'!$A$22:$O$41,9,1)),"")</f>
        <v>4444444</v>
      </c>
      <c r="U42" s="174"/>
      <c r="V42" s="174"/>
      <c r="W42" s="174"/>
      <c r="X42" s="174"/>
      <c r="Y42" s="174"/>
      <c r="Z42" s="174">
        <f>IF(T41=1,IF(VLOOKUP('tai-data'!$H$12+1,'tai-data'!$A$22:$O$41,10,1)=0,"",VLOOKUP('tai-data'!$H$12+1,'tai-data'!$A$22:$O$41,10,1)),"")</f>
        <v>444444</v>
      </c>
      <c r="AA42" s="174"/>
      <c r="AB42" s="174"/>
      <c r="AC42" s="174"/>
      <c r="AD42" s="174"/>
      <c r="AE42" s="174"/>
      <c r="AF42" s="174">
        <f>IF(T41=1,IF(VLOOKUP('tai-data'!$H$12+1,'tai-data'!$A$22:$O$41,11,1)=0,"",VLOOKUP('tai-data'!$H$12+1,'tai-data'!$A$22:$O$41,11,1)),"")</f>
        <v>44444</v>
      </c>
      <c r="AG42" s="174"/>
      <c r="AH42" s="174"/>
      <c r="AI42" s="174"/>
      <c r="AJ42" s="174"/>
      <c r="AK42" s="174"/>
      <c r="AL42" s="14"/>
      <c r="AM42" s="14"/>
      <c r="AN42" s="14"/>
      <c r="AO42" s="14"/>
      <c r="AP42" s="14"/>
      <c r="AQ42" s="166"/>
      <c r="AR42" s="167"/>
      <c r="AS42" s="167"/>
      <c r="AT42" s="167"/>
      <c r="AU42" s="167"/>
      <c r="AV42" s="167"/>
      <c r="AW42" s="167"/>
      <c r="AX42" s="167"/>
      <c r="AY42" s="167"/>
      <c r="AZ42" s="167"/>
      <c r="BA42" s="167"/>
      <c r="BB42" s="168"/>
      <c r="BC42" s="171" t="str">
        <f>IF(BI41=1,IF(VLOOKUP('tai-data'!$H$12+3,'tai-data'!$A$22:$O$41,8,1)=0,"",VLOOKUP('tai-data'!$H$12+3,'tai-data'!$A$22:$O$41,8,1)),"")</f>
        <v/>
      </c>
      <c r="BD42" s="172"/>
      <c r="BE42" s="172"/>
      <c r="BF42" s="172"/>
      <c r="BG42" s="172"/>
      <c r="BH42" s="173"/>
      <c r="BI42" s="174" t="str">
        <f>IF(BI41=1,IF(VLOOKUP('tai-data'!$H$12+3,'tai-data'!$A$22:$O$41,9,1)=0,"",VLOOKUP('tai-data'!$H$12+3,'tai-data'!$A$22:$O$41,9,1)),"")</f>
        <v/>
      </c>
      <c r="BJ42" s="174"/>
      <c r="BK42" s="174"/>
      <c r="BL42" s="174"/>
      <c r="BM42" s="174"/>
      <c r="BN42" s="174"/>
      <c r="BO42" s="174" t="str">
        <f>IF(BI41=1,IF(VLOOKUP('tai-data'!$H$12+3,'tai-data'!$A$22:$O$41,10,1)=0,"",VLOOKUP('tai-data'!$H$12+3,'tai-data'!$A$22:$O$41,10,1)),"")</f>
        <v/>
      </c>
      <c r="BP42" s="174"/>
      <c r="BQ42" s="174"/>
      <c r="BR42" s="174"/>
      <c r="BS42" s="174"/>
      <c r="BT42" s="174"/>
      <c r="BU42" s="174" t="str">
        <f>IF(BI41=1,IF(VLOOKUP('tai-data'!$H$12+3,'tai-data'!$A$22:$O$41,11,1)=0,"",VLOOKUP('tai-data'!$H$12+3,'tai-data'!$A$22:$O$41,11,1)),"")</f>
        <v/>
      </c>
      <c r="BV42" s="174"/>
      <c r="BW42" s="174"/>
      <c r="BX42" s="174"/>
      <c r="BY42" s="174"/>
      <c r="BZ42" s="174"/>
    </row>
    <row r="43" spans="1:78" s="9" customFormat="1" ht="10.8" x14ac:dyDescent="0.15">
      <c r="A43" s="12"/>
      <c r="B43" s="163" t="s">
        <v>74</v>
      </c>
      <c r="C43" s="164"/>
      <c r="D43" s="164"/>
      <c r="E43" s="164"/>
      <c r="F43" s="164"/>
      <c r="G43" s="164"/>
      <c r="H43" s="164"/>
      <c r="I43" s="164"/>
      <c r="J43" s="164"/>
      <c r="K43" s="164"/>
      <c r="L43" s="164"/>
      <c r="M43" s="165"/>
      <c r="N43" s="10" t="s">
        <v>109</v>
      </c>
      <c r="O43" s="169"/>
      <c r="P43" s="169"/>
      <c r="Q43" s="169"/>
      <c r="R43" s="169"/>
      <c r="S43" s="170"/>
      <c r="T43" s="121" t="str">
        <f>IF(IF(VLOOKUP('tai-data'!$H$12+1,'tai-data'!$A$22:$O$41,7,1)=0,"",VLOOKUP('tai-data'!$H$12+1,'tai-data'!$A$22:$O$41,7,1))="下段",1,"")</f>
        <v/>
      </c>
      <c r="Z43" s="119"/>
      <c r="AA43" s="90"/>
      <c r="AB43" s="90"/>
      <c r="AC43" s="90"/>
      <c r="AD43" s="90"/>
      <c r="AE43" s="91"/>
      <c r="AF43" s="119"/>
      <c r="AG43" s="90"/>
      <c r="AH43" s="90"/>
      <c r="AI43" s="90"/>
      <c r="AJ43" s="90"/>
      <c r="AK43" s="91"/>
      <c r="AL43" s="14"/>
      <c r="AM43" s="14"/>
      <c r="AN43" s="14"/>
      <c r="AO43" s="14"/>
      <c r="AP43" s="14"/>
      <c r="AQ43" s="163" t="s">
        <v>74</v>
      </c>
      <c r="AR43" s="164"/>
      <c r="AS43" s="164"/>
      <c r="AT43" s="164"/>
      <c r="AU43" s="164"/>
      <c r="AV43" s="164"/>
      <c r="AW43" s="164"/>
      <c r="AX43" s="164"/>
      <c r="AY43" s="164"/>
      <c r="AZ43" s="164"/>
      <c r="BA43" s="164"/>
      <c r="BB43" s="165"/>
      <c r="BC43" s="10" t="s">
        <v>109</v>
      </c>
      <c r="BD43" s="169"/>
      <c r="BE43" s="169"/>
      <c r="BF43" s="169"/>
      <c r="BG43" s="169"/>
      <c r="BH43" s="170"/>
      <c r="BI43" s="121" t="str">
        <f>IF(IF(VLOOKUP('tai-data'!$H$12+3,'tai-data'!$A$22:$O$41,7,1)=0,"",VLOOKUP('tai-data'!$H$12+3,'tai-data'!$A$22:$O$41,7,1))="下段",1,"")</f>
        <v/>
      </c>
      <c r="BO43" s="119"/>
      <c r="BP43" s="90"/>
      <c r="BQ43" s="90"/>
      <c r="BR43" s="90"/>
      <c r="BS43" s="90"/>
      <c r="BT43" s="91"/>
      <c r="BU43" s="119"/>
      <c r="BV43" s="90"/>
      <c r="BW43" s="90"/>
      <c r="BX43" s="90"/>
      <c r="BY43" s="90"/>
      <c r="BZ43" s="91"/>
    </row>
    <row r="44" spans="1:78" s="12" customFormat="1" ht="19.2" x14ac:dyDescent="0.15">
      <c r="A44" s="11"/>
      <c r="B44" s="166"/>
      <c r="C44" s="167"/>
      <c r="D44" s="167"/>
      <c r="E44" s="167"/>
      <c r="F44" s="167"/>
      <c r="G44" s="167"/>
      <c r="H44" s="167"/>
      <c r="I44" s="167"/>
      <c r="J44" s="167"/>
      <c r="K44" s="167"/>
      <c r="L44" s="167"/>
      <c r="M44" s="168"/>
      <c r="N44" s="171" t="str">
        <f>IF(T43=1,IF(VLOOKUP('tai-data'!$H$12+1,'tai-data'!$A$22:$O$41,8,1)=0,"",VLOOKUP('tai-data'!$H$12+1,'tai-data'!$A$22:$O$41,8,1)),"")</f>
        <v/>
      </c>
      <c r="O44" s="172"/>
      <c r="P44" s="172"/>
      <c r="Q44" s="172"/>
      <c r="R44" s="172"/>
      <c r="S44" s="173"/>
      <c r="T44" s="174" t="str">
        <f>IF(T43=1,IF(VLOOKUP('tai-data'!$H$12+1,'tai-data'!$A$22:$O$41,9,1)=0,"",VLOOKUP('tai-data'!$H$12+1,'tai-data'!$A$22:$O$41,9,1)),"")</f>
        <v/>
      </c>
      <c r="U44" s="174"/>
      <c r="V44" s="174"/>
      <c r="W44" s="174"/>
      <c r="X44" s="174"/>
      <c r="Y44" s="174"/>
      <c r="Z44" s="174" t="str">
        <f>IF(T43=1,IF(VLOOKUP('tai-data'!$H$12+1,'tai-data'!$A$22:$O$41,10,1)=0,"",VLOOKUP('tai-data'!$H$12+1,'tai-data'!$A$22:$O$41,10,1)),"")</f>
        <v/>
      </c>
      <c r="AA44" s="174"/>
      <c r="AB44" s="174"/>
      <c r="AC44" s="174"/>
      <c r="AD44" s="174"/>
      <c r="AE44" s="174"/>
      <c r="AF44" s="174" t="str">
        <f>IF(T43=1,IF(VLOOKUP('tai-data'!$H$12+1,'tai-data'!$A$22:$O$41,11,1)=0,"",VLOOKUP('tai-data'!$H$12+1,'tai-data'!$A$22:$O$41,11,1)),"")</f>
        <v/>
      </c>
      <c r="AG44" s="174"/>
      <c r="AH44" s="174"/>
      <c r="AI44" s="174"/>
      <c r="AJ44" s="174"/>
      <c r="AK44" s="174"/>
      <c r="AL44" s="14"/>
      <c r="AM44" s="14"/>
      <c r="AN44" s="14"/>
      <c r="AO44" s="14"/>
      <c r="AP44" s="14"/>
      <c r="AQ44" s="166"/>
      <c r="AR44" s="167"/>
      <c r="AS44" s="167"/>
      <c r="AT44" s="167"/>
      <c r="AU44" s="167"/>
      <c r="AV44" s="167"/>
      <c r="AW44" s="167"/>
      <c r="AX44" s="167"/>
      <c r="AY44" s="167"/>
      <c r="AZ44" s="167"/>
      <c r="BA44" s="167"/>
      <c r="BB44" s="168"/>
      <c r="BC44" s="171" t="str">
        <f>IF(BI43=1,IF(VLOOKUP('tai-data'!$H$12+3,'tai-data'!$A$22:$O$41,8,1)=0,"",VLOOKUP('tai-data'!$H$12+3,'tai-data'!$A$22:$O$41,8,1)),"")</f>
        <v/>
      </c>
      <c r="BD44" s="172"/>
      <c r="BE44" s="172"/>
      <c r="BF44" s="172"/>
      <c r="BG44" s="172"/>
      <c r="BH44" s="173"/>
      <c r="BI44" s="174" t="str">
        <f>IF(BI43=1,IF(VLOOKUP('tai-data'!$H$12+3,'tai-data'!$A$22:$O$41,9,1)=0,"",VLOOKUP('tai-data'!$H$12+3,'tai-data'!$A$22:$O$41,9,1)),"")</f>
        <v/>
      </c>
      <c r="BJ44" s="174"/>
      <c r="BK44" s="174"/>
      <c r="BL44" s="174"/>
      <c r="BM44" s="174"/>
      <c r="BN44" s="174"/>
      <c r="BO44" s="174" t="str">
        <f>IF(BI43=1,IF(VLOOKUP('tai-data'!$H$12+3,'tai-data'!$A$22:$O$41,10,1)=0,"",VLOOKUP('tai-data'!$H$12+3,'tai-data'!$A$22:$O$41,10,1)),"")</f>
        <v/>
      </c>
      <c r="BP44" s="174"/>
      <c r="BQ44" s="174"/>
      <c r="BR44" s="174"/>
      <c r="BS44" s="174"/>
      <c r="BT44" s="174"/>
      <c r="BU44" s="174" t="str">
        <f>IF(BI43=1,IF(VLOOKUP('tai-data'!$H$12+3,'tai-data'!$A$22:$O$41,11,1)=0,"",VLOOKUP('tai-data'!$H$12+3,'tai-data'!$A$22:$O$41,11,1)),"")</f>
        <v/>
      </c>
      <c r="BV44" s="174"/>
      <c r="BW44" s="174"/>
      <c r="BX44" s="174"/>
      <c r="BY44" s="174"/>
      <c r="BZ44" s="174"/>
    </row>
    <row r="45" spans="1:78" s="9" customFormat="1" ht="10.8" x14ac:dyDescent="0.15">
      <c r="A45" s="12"/>
      <c r="B45" s="138" t="s">
        <v>75</v>
      </c>
      <c r="C45" s="139"/>
      <c r="D45" s="139"/>
      <c r="E45" s="139"/>
      <c r="F45" s="139"/>
      <c r="G45" s="139"/>
      <c r="H45" s="139"/>
      <c r="I45" s="139"/>
      <c r="J45" s="139"/>
      <c r="K45" s="138" t="s">
        <v>77</v>
      </c>
      <c r="L45" s="139"/>
      <c r="M45" s="139"/>
      <c r="N45" s="139"/>
      <c r="O45" s="139"/>
      <c r="P45" s="139"/>
      <c r="Q45" s="139"/>
      <c r="R45" s="139"/>
      <c r="S45" s="139"/>
      <c r="T45" s="138" t="s">
        <v>79</v>
      </c>
      <c r="U45" s="139"/>
      <c r="V45" s="139"/>
      <c r="W45" s="139"/>
      <c r="X45" s="139"/>
      <c r="Y45" s="139"/>
      <c r="Z45" s="139"/>
      <c r="AA45" s="139"/>
      <c r="AB45" s="139"/>
      <c r="AC45" s="201" t="s">
        <v>81</v>
      </c>
      <c r="AD45" s="201"/>
      <c r="AE45" s="201"/>
      <c r="AF45" s="201"/>
      <c r="AG45" s="201"/>
      <c r="AH45" s="201"/>
      <c r="AI45" s="201"/>
      <c r="AJ45" s="201"/>
      <c r="AK45" s="201"/>
      <c r="AL45" s="14"/>
      <c r="AM45" s="14"/>
      <c r="AN45" s="14"/>
      <c r="AO45" s="14"/>
      <c r="AP45" s="14"/>
      <c r="AQ45" s="138" t="s">
        <v>75</v>
      </c>
      <c r="AR45" s="139"/>
      <c r="AS45" s="139"/>
      <c r="AT45" s="139"/>
      <c r="AU45" s="139"/>
      <c r="AV45" s="139"/>
      <c r="AW45" s="139"/>
      <c r="AX45" s="139"/>
      <c r="AY45" s="139"/>
      <c r="AZ45" s="138" t="s">
        <v>77</v>
      </c>
      <c r="BA45" s="139"/>
      <c r="BB45" s="139"/>
      <c r="BC45" s="139"/>
      <c r="BD45" s="139"/>
      <c r="BE45" s="139"/>
      <c r="BF45" s="139"/>
      <c r="BG45" s="139"/>
      <c r="BH45" s="139"/>
      <c r="BI45" s="138" t="s">
        <v>79</v>
      </c>
      <c r="BJ45" s="139"/>
      <c r="BK45" s="139"/>
      <c r="BL45" s="139"/>
      <c r="BM45" s="139"/>
      <c r="BN45" s="139"/>
      <c r="BO45" s="139"/>
      <c r="BP45" s="139"/>
      <c r="BQ45" s="139"/>
      <c r="BR45" s="201" t="s">
        <v>81</v>
      </c>
      <c r="BS45" s="201"/>
      <c r="BT45" s="201"/>
      <c r="BU45" s="201"/>
      <c r="BV45" s="201"/>
      <c r="BW45" s="201"/>
      <c r="BX45" s="201"/>
      <c r="BY45" s="201"/>
      <c r="BZ45" s="201"/>
    </row>
    <row r="46" spans="1:78" s="12" customFormat="1" ht="14.4" x14ac:dyDescent="0.15">
      <c r="A46" s="5"/>
      <c r="B46" s="140">
        <f>IF(K46&lt;=2,80,IF(tai!K46&lt;=20,tai!K46*40,800+((tai!K46-20)*70)))</f>
        <v>800</v>
      </c>
      <c r="C46" s="141"/>
      <c r="D46" s="141"/>
      <c r="E46" s="141"/>
      <c r="F46" s="141"/>
      <c r="G46" s="141"/>
      <c r="H46" s="141"/>
      <c r="I46" s="108"/>
      <c r="J46" s="109" t="s">
        <v>82</v>
      </c>
      <c r="K46" s="142">
        <f>IF(VLOOKUP('tai-data'!$H$12+1,'tai-data'!$A$22:$O$41,12,1)=0,"",VLOOKUP('tai-data'!$H$12+1,'tai-data'!$A$22:$O$41,12,1))</f>
        <v>20</v>
      </c>
      <c r="L46" s="143"/>
      <c r="M46" s="143"/>
      <c r="N46" s="143"/>
      <c r="O46" s="143"/>
      <c r="P46" s="143"/>
      <c r="Q46" s="143"/>
      <c r="R46" s="110"/>
      <c r="S46" s="109" t="s">
        <v>83</v>
      </c>
      <c r="T46" s="144">
        <f>IF(VLOOKUP('tai-data'!$H$12+1,'tai-data'!$A$22:$O$41,13,1)=0,"",VLOOKUP('tai-data'!$H$12+1,'tai-data'!$A$22:$O$41,13,1))</f>
        <v>32906</v>
      </c>
      <c r="U46" s="145"/>
      <c r="V46" s="145"/>
      <c r="W46" s="145"/>
      <c r="X46" s="145"/>
      <c r="Y46" s="145"/>
      <c r="Z46" s="145"/>
      <c r="AA46" s="145"/>
      <c r="AB46" s="145"/>
      <c r="AC46" s="144">
        <f>IF(VLOOKUP('tai-data'!$H$12+1,'tai-data'!$A$22:$O$41,14,1)=0,"",VLOOKUP('tai-data'!$H$12+1,'tai-data'!$A$22:$O$41,14,1))</f>
        <v>42548</v>
      </c>
      <c r="AD46" s="145"/>
      <c r="AE46" s="145"/>
      <c r="AF46" s="145"/>
      <c r="AG46" s="145"/>
      <c r="AH46" s="145"/>
      <c r="AI46" s="145"/>
      <c r="AJ46" s="145"/>
      <c r="AK46" s="146"/>
      <c r="AL46" s="14"/>
      <c r="AM46" s="14"/>
      <c r="AN46" s="14"/>
      <c r="AO46" s="14"/>
      <c r="AP46" s="14"/>
      <c r="AQ46" s="140">
        <f>IF(AZ46&lt;=2,80,IF(tai!AZ46&lt;=20,tai!AZ46*40,800+((tai!AZ46-20)*70)))</f>
        <v>940</v>
      </c>
      <c r="AR46" s="141"/>
      <c r="AS46" s="141"/>
      <c r="AT46" s="141"/>
      <c r="AU46" s="141"/>
      <c r="AV46" s="141"/>
      <c r="AW46" s="141"/>
      <c r="AX46" s="108"/>
      <c r="AY46" s="109" t="s">
        <v>82</v>
      </c>
      <c r="AZ46" s="142">
        <f>IF(VLOOKUP('tai-data'!$H$12+3,'tai-data'!$A$22:$O$41,12,1)=0,"",VLOOKUP('tai-data'!$H$12+3,'tai-data'!$A$22:$O$41,12,1))</f>
        <v>22</v>
      </c>
      <c r="BA46" s="143"/>
      <c r="BB46" s="143"/>
      <c r="BC46" s="143"/>
      <c r="BD46" s="143"/>
      <c r="BE46" s="143"/>
      <c r="BF46" s="143"/>
      <c r="BG46" s="110"/>
      <c r="BH46" s="109" t="s">
        <v>83</v>
      </c>
      <c r="BI46" s="144">
        <f>IF(VLOOKUP('tai-data'!$H$12+3,'tai-data'!$A$22:$O$41,13,1)=0,"",VLOOKUP('tai-data'!$H$12+3,'tai-data'!$A$22:$O$41,13,1))</f>
        <v>33698</v>
      </c>
      <c r="BJ46" s="145"/>
      <c r="BK46" s="145"/>
      <c r="BL46" s="145"/>
      <c r="BM46" s="145"/>
      <c r="BN46" s="145"/>
      <c r="BO46" s="145"/>
      <c r="BP46" s="145"/>
      <c r="BQ46" s="145"/>
      <c r="BR46" s="144">
        <f>IF(VLOOKUP('tai-data'!$H$12+3,'tai-data'!$A$22:$O$41,14,1)=0,"",VLOOKUP('tai-data'!$H$12+3,'tai-data'!$A$22:$O$41,14,1))</f>
        <v>42550</v>
      </c>
      <c r="BS46" s="145"/>
      <c r="BT46" s="145"/>
      <c r="BU46" s="145"/>
      <c r="BV46" s="145"/>
      <c r="BW46" s="145"/>
      <c r="BX46" s="145"/>
      <c r="BY46" s="145"/>
      <c r="BZ46" s="146"/>
    </row>
    <row r="47" spans="1:78" s="9" customFormat="1" ht="16.2" x14ac:dyDescent="0.15">
      <c r="A47" s="107"/>
      <c r="B47" s="147" t="s">
        <v>0</v>
      </c>
      <c r="C47" s="148"/>
      <c r="D47" s="148"/>
      <c r="E47" s="149" t="str">
        <f>VLOOKUP('tai-data'!$H$12+1,'tai-data'!$A$22:$O$41,15,1)&amp;""</f>
        <v>摘要2</v>
      </c>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50"/>
      <c r="AL47" s="14"/>
      <c r="AM47" s="14"/>
      <c r="AN47" s="14"/>
      <c r="AO47" s="14"/>
      <c r="AP47" s="14"/>
      <c r="AQ47" s="147" t="s">
        <v>0</v>
      </c>
      <c r="AR47" s="148"/>
      <c r="AS47" s="148"/>
      <c r="AT47" s="149" t="str">
        <f>VLOOKUP('tai-data'!$H$12+3,'tai-data'!$A$22:$O$41,15,1)&amp;""</f>
        <v>摘要4</v>
      </c>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50"/>
    </row>
    <row r="48" spans="1:78" s="12" customFormat="1" ht="19.2" x14ac:dyDescent="0.15">
      <c r="A48" s="11"/>
      <c r="B48" s="151" t="s">
        <v>18</v>
      </c>
      <c r="C48" s="152"/>
      <c r="D48" s="152"/>
      <c r="E48" s="157" t="s">
        <v>15</v>
      </c>
      <c r="F48" s="158"/>
      <c r="G48" s="158"/>
      <c r="H48" s="159"/>
      <c r="I48" s="85" t="str">
        <f>IF($U$21="","",IF('tai-data'!$C$13="","",IF('tai-data'!$C$13&lt;1000000000000,"",LEFT((RIGHT('tai-data'!$C$13+10000000000000,13)),1))))</f>
        <v/>
      </c>
      <c r="J48" s="84" t="str">
        <f>IF($U$21="","",IF('tai-data'!$C$13="","",LEFT((RIGHT('tai-data'!$C$13+10000000000000,12)),1)))</f>
        <v/>
      </c>
      <c r="K48" s="82" t="str">
        <f>IF($U$21="","",IF('tai-data'!$C$13="","",LEFT((RIGHT('tai-data'!$C$13+10000000000000,11)),1)))</f>
        <v/>
      </c>
      <c r="L48" s="82" t="str">
        <f>IF($U$21="","",IF('tai-data'!$C$13="","",LEFT((RIGHT('tai-data'!$C$13+10000000000000,10)),1)))</f>
        <v/>
      </c>
      <c r="M48" s="86" t="str">
        <f>IF($U$21="","",IF('tai-data'!$C$13="","",LEFT((RIGHT('tai-data'!$C$13+10000000000000,9)),1)))</f>
        <v/>
      </c>
      <c r="N48" s="84" t="str">
        <f>IF($U$21="","",IF('tai-data'!$C$13="","",LEFT((RIGHT('tai-data'!$C$13+10000000000000,8)),1)))</f>
        <v/>
      </c>
      <c r="O48" s="82" t="str">
        <f>IF($U$21="","",IF('tai-data'!$C$13="","",LEFT((RIGHT('tai-data'!$C$13+10000000000000,7)),1)))</f>
        <v/>
      </c>
      <c r="P48" s="82" t="str">
        <f>IF($U$21="","",IF('tai-data'!$C$13="","",LEFT((RIGHT('tai-data'!$C$13+10000000000000,6)),1)))</f>
        <v/>
      </c>
      <c r="Q48" s="83" t="str">
        <f>IF($U$21="","",IF('tai-data'!$C$13="","",LEFT((RIGHT('tai-data'!$C$13+10000000000000,5)),1)))</f>
        <v/>
      </c>
      <c r="R48" s="84" t="str">
        <f>IF($U$21="","",IF('tai-data'!$C$13="","",LEFT((RIGHT('tai-data'!$C$13+10000000000000,4)),1)))</f>
        <v/>
      </c>
      <c r="S48" s="82" t="str">
        <f>IF($U$21="","",IF('tai-data'!$C$13="","",LEFT((RIGHT('tai-data'!$C$13+10000000000000,3)),1)))</f>
        <v/>
      </c>
      <c r="T48" s="82" t="str">
        <f>IF($U$21="","",IF('tai-data'!$C$13="","",LEFT((RIGHT('tai-data'!$C$13+10000000000000,2)),1)))</f>
        <v/>
      </c>
      <c r="U48" s="87" t="str">
        <f>IF('tai-data'!$H$15="印字しない","",IF('tai-data'!$C$13="","",LEFT((RIGHT('tai-data'!$C$13+10000000000000,1)),1)))</f>
        <v/>
      </c>
      <c r="V48" s="12" t="s">
        <v>84</v>
      </c>
      <c r="W48" s="4"/>
      <c r="X48" s="4"/>
      <c r="Y48" s="4"/>
      <c r="Z48" s="4"/>
      <c r="AA48" s="4"/>
      <c r="AB48" s="4"/>
      <c r="AC48" s="4"/>
      <c r="AD48" s="4"/>
      <c r="AE48" s="4"/>
      <c r="AF48" s="4"/>
      <c r="AG48" s="4"/>
      <c r="AH48" s="4"/>
      <c r="AI48" s="92"/>
      <c r="AJ48" s="92"/>
      <c r="AK48" s="93"/>
      <c r="AL48" s="14"/>
      <c r="AM48" s="14"/>
      <c r="AN48" s="14"/>
      <c r="AO48" s="14"/>
      <c r="AP48" s="14"/>
      <c r="AQ48" s="151" t="s">
        <v>18</v>
      </c>
      <c r="AR48" s="152"/>
      <c r="AS48" s="152"/>
      <c r="AT48" s="157" t="s">
        <v>15</v>
      </c>
      <c r="AU48" s="158"/>
      <c r="AV48" s="158"/>
      <c r="AW48" s="159"/>
      <c r="AX48" s="85" t="str">
        <f>IF($U$21="","",IF('tai-data'!$C$13="","",IF('tai-data'!$C$13&lt;1000000000000,"",LEFT((RIGHT('tai-data'!$C$13+10000000000000,13)),1))))</f>
        <v/>
      </c>
      <c r="AY48" s="84" t="str">
        <f>IF($U$21="","",IF('tai-data'!$C$13="","",LEFT((RIGHT('tai-data'!$C$13+10000000000000,12)),1)))</f>
        <v/>
      </c>
      <c r="AZ48" s="82" t="str">
        <f>IF($U$21="","",IF('tai-data'!$C$13="","",LEFT((RIGHT('tai-data'!$C$13+10000000000000,11)),1)))</f>
        <v/>
      </c>
      <c r="BA48" s="82" t="str">
        <f>IF($U$21="","",IF('tai-data'!$C$13="","",LEFT((RIGHT('tai-data'!$C$13+10000000000000,10)),1)))</f>
        <v/>
      </c>
      <c r="BB48" s="86" t="str">
        <f>IF($U$21="","",IF('tai-data'!$C$13="","",LEFT((RIGHT('tai-data'!$C$13+10000000000000,9)),1)))</f>
        <v/>
      </c>
      <c r="BC48" s="84" t="str">
        <f>IF($U$21="","",IF('tai-data'!$C$13="","",LEFT((RIGHT('tai-data'!$C$13+10000000000000,8)),1)))</f>
        <v/>
      </c>
      <c r="BD48" s="82" t="str">
        <f>IF($U$21="","",IF('tai-data'!$C$13="","",LEFT((RIGHT('tai-data'!$C$13+10000000000000,7)),1)))</f>
        <v/>
      </c>
      <c r="BE48" s="82" t="str">
        <f>IF($U$21="","",IF('tai-data'!$C$13="","",LEFT((RIGHT('tai-data'!$C$13+10000000000000,6)),1)))</f>
        <v/>
      </c>
      <c r="BF48" s="83" t="str">
        <f>IF($U$21="","",IF('tai-data'!$C$13="","",LEFT((RIGHT('tai-data'!$C$13+10000000000000,5)),1)))</f>
        <v/>
      </c>
      <c r="BG48" s="84" t="str">
        <f>IF($U$21="","",IF('tai-data'!$C$13="","",LEFT((RIGHT('tai-data'!$C$13+10000000000000,4)),1)))</f>
        <v/>
      </c>
      <c r="BH48" s="82" t="str">
        <f>IF($U$21="","",IF('tai-data'!$C$13="","",LEFT((RIGHT('tai-data'!$C$13+10000000000000,3)),1)))</f>
        <v/>
      </c>
      <c r="BI48" s="82" t="str">
        <f>IF($U$21="","",IF('tai-data'!$C$13="","",LEFT((RIGHT('tai-data'!$C$13+10000000000000,2)),1)))</f>
        <v/>
      </c>
      <c r="BJ48" s="87" t="str">
        <f>IF('tai-data'!$H$15="印字しない","",IF('tai-data'!$C$13="","",LEFT((RIGHT('tai-data'!$C$13+10000000000000,1)),1)))</f>
        <v/>
      </c>
      <c r="BK48" s="12" t="s">
        <v>84</v>
      </c>
      <c r="BL48" s="4"/>
      <c r="BM48" s="4"/>
      <c r="BN48" s="4"/>
      <c r="BO48" s="4"/>
      <c r="BP48" s="4"/>
      <c r="BQ48" s="4"/>
      <c r="BR48" s="4"/>
      <c r="BS48" s="4"/>
      <c r="BT48" s="4"/>
      <c r="BU48" s="4"/>
      <c r="BV48" s="4"/>
      <c r="BW48" s="4"/>
      <c r="BX48" s="92"/>
      <c r="BY48" s="92"/>
      <c r="BZ48" s="93"/>
    </row>
    <row r="49" spans="1:78" ht="19.2" x14ac:dyDescent="0.15">
      <c r="A49" s="11"/>
      <c r="B49" s="153"/>
      <c r="C49" s="154"/>
      <c r="D49" s="154"/>
      <c r="E49" s="203" t="s">
        <v>13</v>
      </c>
      <c r="F49" s="192"/>
      <c r="G49" s="192"/>
      <c r="H49" s="192"/>
      <c r="I49" s="160" t="str">
        <f>+'tai-data'!$C$10</f>
        <v>東京都千代田区御助町1-2-3御助ビル4階</v>
      </c>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2"/>
      <c r="AQ49" s="153"/>
      <c r="AR49" s="154"/>
      <c r="AS49" s="154"/>
      <c r="AT49" s="203" t="s">
        <v>13</v>
      </c>
      <c r="AU49" s="192"/>
      <c r="AV49" s="192"/>
      <c r="AW49" s="192"/>
      <c r="AX49" s="160" t="str">
        <f>+'tai-data'!$C$10</f>
        <v>東京都千代田区御助町1-2-3御助ビル4階</v>
      </c>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2"/>
    </row>
    <row r="50" spans="1:78" s="13" customFormat="1" ht="19.2" x14ac:dyDescent="0.15">
      <c r="A50" s="11"/>
      <c r="B50" s="153"/>
      <c r="C50" s="154"/>
      <c r="D50" s="154"/>
      <c r="E50" s="151" t="s">
        <v>16</v>
      </c>
      <c r="F50" s="152"/>
      <c r="G50" s="152"/>
      <c r="H50" s="152"/>
      <c r="I50" s="88" t="str">
        <f>+'tai-data'!$C$11</f>
        <v>株式会社ＲＥＳＣＵＥ ＲＡＮＧＥＲＳ</v>
      </c>
      <c r="J50" s="89"/>
      <c r="K50" s="89"/>
      <c r="L50" s="89"/>
      <c r="M50" s="89"/>
      <c r="N50" s="89"/>
      <c r="O50" s="89"/>
      <c r="P50" s="89"/>
      <c r="Q50" s="89"/>
      <c r="R50" s="89"/>
      <c r="S50" s="89"/>
      <c r="T50" s="89"/>
      <c r="U50" s="89"/>
      <c r="V50" s="89"/>
      <c r="W50" s="89"/>
      <c r="X50" s="89"/>
      <c r="Y50" s="94"/>
      <c r="Z50" s="94"/>
      <c r="AA50" s="94"/>
      <c r="AB50" s="94"/>
      <c r="AC50" s="94"/>
      <c r="AD50" s="94"/>
      <c r="AE50" s="94"/>
      <c r="AF50" s="94"/>
      <c r="AG50" s="94"/>
      <c r="AH50" s="94"/>
      <c r="AI50" s="94"/>
      <c r="AJ50" s="94"/>
      <c r="AK50" s="95"/>
      <c r="AL50" s="14"/>
      <c r="AM50" s="14"/>
      <c r="AN50" s="14"/>
      <c r="AO50" s="14"/>
      <c r="AP50" s="14"/>
      <c r="AQ50" s="153"/>
      <c r="AR50" s="154"/>
      <c r="AS50" s="154"/>
      <c r="AT50" s="151" t="s">
        <v>16</v>
      </c>
      <c r="AU50" s="152"/>
      <c r="AV50" s="152"/>
      <c r="AW50" s="152"/>
      <c r="AX50" s="88" t="str">
        <f>+'tai-data'!$C$11</f>
        <v>株式会社ＲＥＳＣＵＥ ＲＡＮＧＥＲＳ</v>
      </c>
      <c r="AY50" s="89"/>
      <c r="AZ50" s="89"/>
      <c r="BA50" s="89"/>
      <c r="BB50" s="89"/>
      <c r="BC50" s="89"/>
      <c r="BD50" s="89"/>
      <c r="BE50" s="89"/>
      <c r="BF50" s="89"/>
      <c r="BG50" s="89"/>
      <c r="BH50" s="89"/>
      <c r="BI50" s="89"/>
      <c r="BJ50" s="89"/>
      <c r="BK50" s="89"/>
      <c r="BL50" s="89"/>
      <c r="BM50" s="89"/>
      <c r="BN50" s="94"/>
      <c r="BO50" s="94"/>
      <c r="BP50" s="94"/>
      <c r="BQ50" s="94"/>
      <c r="BR50" s="94"/>
      <c r="BS50" s="94"/>
      <c r="BT50" s="94"/>
      <c r="BU50" s="94"/>
      <c r="BV50" s="94"/>
      <c r="BW50" s="94"/>
      <c r="BX50" s="94"/>
      <c r="BY50" s="94"/>
      <c r="BZ50" s="95"/>
    </row>
    <row r="51" spans="1:78" x14ac:dyDescent="0.15">
      <c r="A51" s="12"/>
      <c r="B51" s="155"/>
      <c r="C51" s="156"/>
      <c r="D51" s="156"/>
      <c r="E51" s="155"/>
      <c r="F51" s="156"/>
      <c r="G51" s="156"/>
      <c r="H51" s="156"/>
      <c r="I51" s="16"/>
      <c r="J51" s="17"/>
      <c r="K51" s="17"/>
      <c r="L51" s="18"/>
      <c r="M51" s="18"/>
      <c r="N51" s="19"/>
      <c r="O51" s="19"/>
      <c r="P51" s="18"/>
      <c r="Q51" s="18"/>
      <c r="R51" s="20" t="s">
        <v>12</v>
      </c>
      <c r="S51" s="18" t="str">
        <f>+'tai-data'!$C$12</f>
        <v>03-1234-5678</v>
      </c>
      <c r="T51" s="19"/>
      <c r="U51" s="19"/>
      <c r="V51" s="19"/>
      <c r="W51" s="19"/>
      <c r="X51" s="19"/>
      <c r="Y51" s="19"/>
      <c r="Z51" s="19"/>
      <c r="AA51" s="19"/>
      <c r="AB51" s="19"/>
      <c r="AC51" s="19"/>
      <c r="AD51" s="19"/>
      <c r="AE51" s="19"/>
      <c r="AF51" s="19"/>
      <c r="AG51" s="19"/>
      <c r="AH51" s="19"/>
      <c r="AI51" s="19"/>
      <c r="AJ51" s="19"/>
      <c r="AK51" s="21"/>
      <c r="AQ51" s="155"/>
      <c r="AR51" s="156"/>
      <c r="AS51" s="156"/>
      <c r="AT51" s="155"/>
      <c r="AU51" s="156"/>
      <c r="AV51" s="156"/>
      <c r="AW51" s="156"/>
      <c r="AX51" s="16"/>
      <c r="AY51" s="17"/>
      <c r="AZ51" s="17"/>
      <c r="BA51" s="18"/>
      <c r="BB51" s="18"/>
      <c r="BC51" s="19"/>
      <c r="BD51" s="19"/>
      <c r="BE51" s="18"/>
      <c r="BF51" s="18"/>
      <c r="BG51" s="20" t="s">
        <v>12</v>
      </c>
      <c r="BH51" s="18" t="str">
        <f>+'tai-data'!$C$12</f>
        <v>03-1234-5678</v>
      </c>
      <c r="BI51" s="19"/>
      <c r="BJ51" s="19"/>
      <c r="BK51" s="19"/>
      <c r="BL51" s="19"/>
      <c r="BM51" s="19"/>
      <c r="BN51" s="19"/>
      <c r="BO51" s="19"/>
      <c r="BP51" s="19"/>
      <c r="BQ51" s="19"/>
      <c r="BR51" s="19"/>
      <c r="BS51" s="19"/>
      <c r="BT51" s="19"/>
      <c r="BU51" s="19"/>
      <c r="BV51" s="19"/>
      <c r="BW51" s="19"/>
      <c r="BX51" s="19"/>
      <c r="BY51" s="19"/>
      <c r="BZ51" s="21"/>
    </row>
    <row r="52" spans="1:78"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31"/>
      <c r="Z52" s="31"/>
      <c r="AA52" s="31"/>
      <c r="AB52" s="31"/>
      <c r="AC52" s="31"/>
      <c r="AD52" s="31"/>
      <c r="AE52" s="31"/>
      <c r="AF52" s="31"/>
      <c r="AG52" s="31"/>
      <c r="AH52" s="31"/>
      <c r="AI52" s="31"/>
      <c r="AJ52" s="31"/>
      <c r="AK52" s="31"/>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31"/>
      <c r="BO52" s="31"/>
      <c r="BP52" s="31"/>
      <c r="BQ52" s="31"/>
      <c r="BR52" s="31"/>
      <c r="BS52" s="31"/>
      <c r="BT52" s="31"/>
      <c r="BU52" s="31"/>
      <c r="BV52" s="31"/>
      <c r="BW52" s="31"/>
      <c r="BX52" s="31"/>
      <c r="BY52" s="31"/>
      <c r="BZ52" s="31"/>
    </row>
    <row r="53" spans="1:78" s="13" customFormat="1" x14ac:dyDescent="0.15">
      <c r="A53" s="4"/>
      <c r="B53" s="128" t="s">
        <v>42</v>
      </c>
      <c r="C53" s="129"/>
      <c r="D53" s="129"/>
      <c r="E53" s="129"/>
      <c r="F53" s="129"/>
      <c r="G53" s="129"/>
      <c r="H53" s="129"/>
      <c r="I53" s="130"/>
      <c r="J53" s="131" t="str">
        <f>IF('tai-data'!$H$15="印字しない","",IF('tai-data'!$C$14="","",+'tai-data'!$C$14))</f>
        <v/>
      </c>
      <c r="K53" s="132"/>
      <c r="L53" s="132"/>
      <c r="M53" s="132"/>
      <c r="N53" s="132"/>
      <c r="O53" s="132"/>
      <c r="P53" s="133"/>
      <c r="Q53" s="128" t="s">
        <v>41</v>
      </c>
      <c r="R53" s="129"/>
      <c r="S53" s="129"/>
      <c r="T53" s="129"/>
      <c r="U53" s="129"/>
      <c r="V53" s="129"/>
      <c r="W53" s="129"/>
      <c r="X53" s="130"/>
      <c r="Y53" s="134" t="str">
        <f>IF('tai-data'!$H$15="印字しない","",IF('tai-data'!$C$15="","",+'tai-data'!$C$15))</f>
        <v/>
      </c>
      <c r="Z53" s="135"/>
      <c r="AA53" s="135"/>
      <c r="AB53" s="135"/>
      <c r="AC53" s="135"/>
      <c r="AD53" s="135"/>
      <c r="AE53" s="135"/>
      <c r="AF53" s="135"/>
      <c r="AG53" s="135"/>
      <c r="AH53" s="135"/>
      <c r="AI53" s="135"/>
      <c r="AJ53" s="135"/>
      <c r="AK53" s="136"/>
      <c r="AL53" s="31"/>
      <c r="AM53" s="31"/>
      <c r="AN53" s="31"/>
      <c r="AO53" s="31"/>
      <c r="AP53" s="31"/>
      <c r="AQ53" s="128" t="s">
        <v>42</v>
      </c>
      <c r="AR53" s="129"/>
      <c r="AS53" s="129"/>
      <c r="AT53" s="129"/>
      <c r="AU53" s="129"/>
      <c r="AV53" s="129"/>
      <c r="AW53" s="129"/>
      <c r="AX53" s="130"/>
      <c r="AY53" s="131" t="str">
        <f>IF('tai-data'!$H$15="印字しない","",IF('tai-data'!$C$14="","",+'tai-data'!$C$14))</f>
        <v/>
      </c>
      <c r="AZ53" s="132"/>
      <c r="BA53" s="132"/>
      <c r="BB53" s="132"/>
      <c r="BC53" s="132"/>
      <c r="BD53" s="132"/>
      <c r="BE53" s="133"/>
      <c r="BF53" s="128" t="s">
        <v>41</v>
      </c>
      <c r="BG53" s="129"/>
      <c r="BH53" s="129"/>
      <c r="BI53" s="129"/>
      <c r="BJ53" s="129"/>
      <c r="BK53" s="129"/>
      <c r="BL53" s="129"/>
      <c r="BM53" s="130"/>
      <c r="BN53" s="134" t="str">
        <f>IF('tai-data'!$H$15="印字しない","",IF('tai-data'!$C$15="","",+'tai-data'!$C$15))</f>
        <v/>
      </c>
      <c r="BO53" s="135"/>
      <c r="BP53" s="135"/>
      <c r="BQ53" s="135"/>
      <c r="BR53" s="135"/>
      <c r="BS53" s="135"/>
      <c r="BT53" s="135"/>
      <c r="BU53" s="135"/>
      <c r="BV53" s="135"/>
      <c r="BW53" s="135"/>
      <c r="BX53" s="135"/>
      <c r="BY53" s="135"/>
      <c r="BZ53" s="136"/>
    </row>
    <row r="54" spans="1:78" x14ac:dyDescent="0.15">
      <c r="AJ54" s="137">
        <v>316</v>
      </c>
      <c r="AK54" s="137"/>
      <c r="AQ54" s="4"/>
      <c r="AR54" s="4"/>
      <c r="AS54" s="4"/>
      <c r="AT54" s="4"/>
      <c r="AU54" s="4"/>
      <c r="AV54" s="4"/>
      <c r="AW54" s="4"/>
      <c r="AX54" s="4"/>
      <c r="AY54" s="4"/>
      <c r="AZ54" s="4"/>
      <c r="BA54" s="4"/>
      <c r="BB54" s="4"/>
      <c r="BC54" s="4"/>
      <c r="BD54" s="4"/>
      <c r="BE54" s="4"/>
      <c r="BF54" s="4"/>
      <c r="BG54" s="4"/>
      <c r="BH54" s="4"/>
      <c r="BI54" s="4"/>
      <c r="BJ54" s="4"/>
      <c r="BK54" s="4"/>
      <c r="BL54" s="4"/>
      <c r="BM54" s="4"/>
      <c r="BY54" s="137">
        <v>316</v>
      </c>
      <c r="BZ54" s="137"/>
    </row>
  </sheetData>
  <sheetProtection password="CC71" sheet="1" objects="1" scenarios="1"/>
  <protectedRanges>
    <protectedRange sqref="O12 O14 O16 B19 BD12 BD14 BD16 O39 O41 O43 B46 BD39 BD41 BD43 AQ46" name="範囲1"/>
  </protectedRanges>
  <mergeCells count="212">
    <mergeCell ref="K18:S18"/>
    <mergeCell ref="E6:H6"/>
    <mergeCell ref="AF15:AK15"/>
    <mergeCell ref="T17:Y17"/>
    <mergeCell ref="Z17:AE17"/>
    <mergeCell ref="AF17:AK17"/>
    <mergeCell ref="T13:Y13"/>
    <mergeCell ref="Z13:AE13"/>
    <mergeCell ref="AF13:AK13"/>
    <mergeCell ref="Z11:AE11"/>
    <mergeCell ref="AF11:AK11"/>
    <mergeCell ref="O12:S12"/>
    <mergeCell ref="B12:M13"/>
    <mergeCell ref="O14:S14"/>
    <mergeCell ref="O16:S16"/>
    <mergeCell ref="B14:M15"/>
    <mergeCell ref="B16:M17"/>
    <mergeCell ref="B5:D9"/>
    <mergeCell ref="Z10:AK10"/>
    <mergeCell ref="N10:S11"/>
    <mergeCell ref="T10:Y11"/>
    <mergeCell ref="B10:M11"/>
    <mergeCell ref="N15:S15"/>
    <mergeCell ref="N17:S17"/>
    <mergeCell ref="T15:Y15"/>
    <mergeCell ref="I4:K4"/>
    <mergeCell ref="E5:H5"/>
    <mergeCell ref="E7:H7"/>
    <mergeCell ref="I8:J8"/>
    <mergeCell ref="E8:H9"/>
    <mergeCell ref="I9:O9"/>
    <mergeCell ref="U5:AK5"/>
    <mergeCell ref="Z15:AE15"/>
    <mergeCell ref="BC17:BH17"/>
    <mergeCell ref="BI17:BN17"/>
    <mergeCell ref="E22:H22"/>
    <mergeCell ref="E23:H24"/>
    <mergeCell ref="B20:D20"/>
    <mergeCell ref="E20:AK20"/>
    <mergeCell ref="I22:AK22"/>
    <mergeCell ref="N13:S13"/>
    <mergeCell ref="AQ12:BB13"/>
    <mergeCell ref="BD12:BH12"/>
    <mergeCell ref="BC13:BH13"/>
    <mergeCell ref="AQ14:BB15"/>
    <mergeCell ref="BD14:BH14"/>
    <mergeCell ref="BC15:BH15"/>
    <mergeCell ref="AQ16:BB17"/>
    <mergeCell ref="AC19:AK19"/>
    <mergeCell ref="T19:AB19"/>
    <mergeCell ref="B19:H19"/>
    <mergeCell ref="B21:D24"/>
    <mergeCell ref="K19:Q19"/>
    <mergeCell ref="E21:H21"/>
    <mergeCell ref="T18:AB18"/>
    <mergeCell ref="AC18:AK18"/>
    <mergeCell ref="B18:J18"/>
    <mergeCell ref="BO11:BT11"/>
    <mergeCell ref="BU11:BZ11"/>
    <mergeCell ref="BI13:BN13"/>
    <mergeCell ref="BO13:BT13"/>
    <mergeCell ref="BU13:BZ13"/>
    <mergeCell ref="BI15:BN15"/>
    <mergeCell ref="BO15:BT15"/>
    <mergeCell ref="BU15:BZ15"/>
    <mergeCell ref="BD16:BH16"/>
    <mergeCell ref="AJ54:AK54"/>
    <mergeCell ref="T45:AB45"/>
    <mergeCell ref="AC45:AK45"/>
    <mergeCell ref="E49:H49"/>
    <mergeCell ref="B45:J45"/>
    <mergeCell ref="K45:S45"/>
    <mergeCell ref="B46:H46"/>
    <mergeCell ref="K46:Q46"/>
    <mergeCell ref="T46:AB46"/>
    <mergeCell ref="AC46:AK46"/>
    <mergeCell ref="B47:D47"/>
    <mergeCell ref="E47:AK47"/>
    <mergeCell ref="I49:AK49"/>
    <mergeCell ref="B26:I26"/>
    <mergeCell ref="J26:P26"/>
    <mergeCell ref="Q26:X26"/>
    <mergeCell ref="AT22:AW22"/>
    <mergeCell ref="AT23:AW24"/>
    <mergeCell ref="AQ26:AX26"/>
    <mergeCell ref="AY26:BE26"/>
    <mergeCell ref="BF26:BM26"/>
    <mergeCell ref="BN26:BZ26"/>
    <mergeCell ref="Y26:AK26"/>
    <mergeCell ref="B48:D51"/>
    <mergeCell ref="E48:H48"/>
    <mergeCell ref="E50:H51"/>
    <mergeCell ref="B53:I53"/>
    <mergeCell ref="J53:P53"/>
    <mergeCell ref="Q53:X53"/>
    <mergeCell ref="Y53:AK53"/>
    <mergeCell ref="I31:K31"/>
    <mergeCell ref="E32:H32"/>
    <mergeCell ref="BI18:BQ18"/>
    <mergeCell ref="BR18:BZ18"/>
    <mergeCell ref="AQ19:AW19"/>
    <mergeCell ref="AZ19:BF19"/>
    <mergeCell ref="BI19:BQ19"/>
    <mergeCell ref="BR19:BZ19"/>
    <mergeCell ref="AX4:AZ4"/>
    <mergeCell ref="AX31:AZ31"/>
    <mergeCell ref="BI45:BQ45"/>
    <mergeCell ref="BR45:BZ45"/>
    <mergeCell ref="AT32:AW32"/>
    <mergeCell ref="AT6:AW6"/>
    <mergeCell ref="AQ20:AS20"/>
    <mergeCell ref="AQ5:AS9"/>
    <mergeCell ref="AT5:AW5"/>
    <mergeCell ref="BJ5:BZ5"/>
    <mergeCell ref="AT7:AW7"/>
    <mergeCell ref="AT8:AW9"/>
    <mergeCell ref="AX8:AY8"/>
    <mergeCell ref="AX9:BD9"/>
    <mergeCell ref="AQ10:BB11"/>
    <mergeCell ref="BC10:BH11"/>
    <mergeCell ref="BI10:BN11"/>
    <mergeCell ref="BO10:BZ10"/>
    <mergeCell ref="B32:D36"/>
    <mergeCell ref="U32:AK32"/>
    <mergeCell ref="E33:H33"/>
    <mergeCell ref="E34:H34"/>
    <mergeCell ref="E35:H36"/>
    <mergeCell ref="I35:J35"/>
    <mergeCell ref="I36:O36"/>
    <mergeCell ref="AQ32:AS36"/>
    <mergeCell ref="BO17:BT17"/>
    <mergeCell ref="BJ32:BZ32"/>
    <mergeCell ref="AT33:AW33"/>
    <mergeCell ref="AT34:AW34"/>
    <mergeCell ref="AT35:AW36"/>
    <mergeCell ref="AX35:AY35"/>
    <mergeCell ref="AX36:BD36"/>
    <mergeCell ref="AX22:BZ22"/>
    <mergeCell ref="AT20:BZ20"/>
    <mergeCell ref="AJ27:AK27"/>
    <mergeCell ref="BY27:BZ27"/>
    <mergeCell ref="AQ21:AS24"/>
    <mergeCell ref="AT21:AW21"/>
    <mergeCell ref="BU17:BZ17"/>
    <mergeCell ref="AQ18:AY18"/>
    <mergeCell ref="AZ18:BH18"/>
    <mergeCell ref="B37:M38"/>
    <mergeCell ref="N37:S38"/>
    <mergeCell ref="T37:Y38"/>
    <mergeCell ref="Z37:AK37"/>
    <mergeCell ref="Z38:AE38"/>
    <mergeCell ref="AF38:AK38"/>
    <mergeCell ref="B39:M40"/>
    <mergeCell ref="O39:S39"/>
    <mergeCell ref="N40:S40"/>
    <mergeCell ref="T40:Y40"/>
    <mergeCell ref="Z40:AE40"/>
    <mergeCell ref="AF40:AK40"/>
    <mergeCell ref="B41:M42"/>
    <mergeCell ref="O41:S41"/>
    <mergeCell ref="N42:S42"/>
    <mergeCell ref="T42:Y42"/>
    <mergeCell ref="Z42:AE42"/>
    <mergeCell ref="AF42:AK42"/>
    <mergeCell ref="B43:M44"/>
    <mergeCell ref="O43:S43"/>
    <mergeCell ref="N44:S44"/>
    <mergeCell ref="T44:Y44"/>
    <mergeCell ref="Z44:AE44"/>
    <mergeCell ref="AF44:AK44"/>
    <mergeCell ref="AQ37:BB38"/>
    <mergeCell ref="BC37:BH38"/>
    <mergeCell ref="BI37:BN38"/>
    <mergeCell ref="BO37:BZ37"/>
    <mergeCell ref="BO38:BT38"/>
    <mergeCell ref="BU38:BZ38"/>
    <mergeCell ref="AQ39:BB40"/>
    <mergeCell ref="BD39:BH39"/>
    <mergeCell ref="BC40:BH40"/>
    <mergeCell ref="BI40:BN40"/>
    <mergeCell ref="BO40:BT40"/>
    <mergeCell ref="BU40:BZ40"/>
    <mergeCell ref="AQ41:BB42"/>
    <mergeCell ref="BD41:BH41"/>
    <mergeCell ref="BC42:BH42"/>
    <mergeCell ref="BI42:BN42"/>
    <mergeCell ref="BO42:BT42"/>
    <mergeCell ref="BU42:BZ42"/>
    <mergeCell ref="AQ43:BB44"/>
    <mergeCell ref="BD43:BH43"/>
    <mergeCell ref="BC44:BH44"/>
    <mergeCell ref="BI44:BN44"/>
    <mergeCell ref="BO44:BT44"/>
    <mergeCell ref="BU44:BZ44"/>
    <mergeCell ref="AQ53:AX53"/>
    <mergeCell ref="AY53:BE53"/>
    <mergeCell ref="BF53:BM53"/>
    <mergeCell ref="BN53:BZ53"/>
    <mergeCell ref="BY54:BZ54"/>
    <mergeCell ref="AQ45:AY45"/>
    <mergeCell ref="AZ45:BH45"/>
    <mergeCell ref="AQ46:AW46"/>
    <mergeCell ref="AZ46:BF46"/>
    <mergeCell ref="BI46:BQ46"/>
    <mergeCell ref="BR46:BZ46"/>
    <mergeCell ref="AQ47:AS47"/>
    <mergeCell ref="AT47:BZ47"/>
    <mergeCell ref="AQ48:AS51"/>
    <mergeCell ref="AT48:AW48"/>
    <mergeCell ref="AT50:AW51"/>
    <mergeCell ref="AX49:BZ49"/>
    <mergeCell ref="AT49:AW49"/>
  </mergeCells>
  <phoneticPr fontId="2"/>
  <dataValidations disablePrompts="1" count="1">
    <dataValidation type="list" allowBlank="1" showInputMessage="1" showErrorMessage="1" sqref="F1:F3">
      <formula1>"印字する,印字しない"</formula1>
    </dataValidation>
  </dataValidations>
  <printOptions horizontalCentered="1" verticalCentered="1"/>
  <pageMargins left="0.39370078740157483" right="0.39370078740157483" top="0.39370078740157483" bottom="0.39370078740157483" header="0.31496062992125984" footer="0.31496062992125984"/>
  <pageSetup paperSize="9" scale="80"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tai-data</vt:lpstr>
      <vt:lpstr>tai</vt:lpstr>
      <vt:lpstr>tai!Print_Area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退職源泉v4.01</dc:title>
  <dc:creator>RRS</dc:creator>
  <cp:lastModifiedBy>RRS</cp:lastModifiedBy>
  <cp:lastPrinted>2017-01-10T02:39:16Z</cp:lastPrinted>
  <dcterms:created xsi:type="dcterms:W3CDTF">2015-01-22T01:37:33Z</dcterms:created>
  <dcterms:modified xsi:type="dcterms:W3CDTF">2018-09-25T03:54:11Z</dcterms:modified>
</cp:coreProperties>
</file>